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skederm3d002.sharepoint.com/sites/0120/Shared Documents/01.01.IR/01.01.02. IR Material/01.01.02.02. Fact Sheets/"/>
    </mc:Choice>
  </mc:AlternateContent>
  <xr:revisionPtr revIDLastSave="539" documentId="8_{AFDD22C4-59F1-4515-9811-69C8E8080E53}" xr6:coauthVersionLast="47" xr6:coauthVersionMax="47" xr10:uidLastSave="{B3434E48-8E30-429B-8BEC-CB2CF84649EC}"/>
  <bookViews>
    <workbookView xWindow="-108" yWindow="-108" windowWidth="23256" windowHeight="12456" tabRatio="434" firstSheet="1" activeTab="1" xr2:uid="{00000000-000D-0000-FFFF-FFFF00000000}"/>
  </bookViews>
  <sheets>
    <sheet name="Income Statement" sheetId="2" r:id="rId1"/>
    <sheet name="Balance Sheet" sheetId="4" r:id="rId2"/>
    <sheet name="SG&amp;A" sheetId="5" r:id="rId3"/>
  </sheets>
  <definedNames>
    <definedName name="_xlnm._FilterDatabase" localSheetId="2" hidden="1">'SG&amp;A'!$A$1:$O$1</definedName>
    <definedName name="_xlnm.Print_Area" localSheetId="1">'Balance Sheet'!$B$1:$AT$45</definedName>
    <definedName name="_xlnm.Print_Area" localSheetId="0">'Income Statement'!$A$1:$DP$39</definedName>
    <definedName name="_xlnm.Print_Titles" localSheetId="1">'Balance Sheet'!$B:$C</definedName>
    <definedName name="_xlnm.Print_Titles" localSheetId="0">'Income Statement'!$A:$A</definedName>
    <definedName name="_xlnm.Print_Titles" localSheetId="2">'SG&amp;A'!$A:$B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L14" i="2"/>
  <c r="AE14" i="2"/>
  <c r="AX14" i="2"/>
  <c r="BQ14" i="2"/>
  <c r="CJ14" i="2"/>
  <c r="CM14" i="2"/>
  <c r="CQ14" i="2"/>
  <c r="CU14" i="2"/>
  <c r="CY14" i="2"/>
  <c r="DC14" i="2"/>
  <c r="DF14" i="2"/>
  <c r="DJ14" i="2"/>
  <c r="DN14" i="2"/>
  <c r="J17" i="2" l="1"/>
  <c r="AB17" i="2" s="1"/>
  <c r="I17" i="2"/>
  <c r="X17" i="2" s="1"/>
  <c r="H17" i="2"/>
  <c r="G17" i="2"/>
  <c r="P17" i="2" s="1"/>
  <c r="BR17" i="2"/>
  <c r="BO17" i="2"/>
  <c r="BN17" i="2"/>
  <c r="BK17" i="2"/>
  <c r="BJ17" i="2"/>
  <c r="BG17" i="2"/>
  <c r="BF17" i="2"/>
  <c r="BC17" i="2"/>
  <c r="BB17" i="2"/>
  <c r="AY17" i="2"/>
  <c r="AV17" i="2"/>
  <c r="AU17" i="2"/>
  <c r="AR17" i="2"/>
  <c r="AQ17" i="2"/>
  <c r="AN17" i="2"/>
  <c r="AM17" i="2"/>
  <c r="AJ17" i="2"/>
  <c r="AI17" i="2"/>
  <c r="AF17" i="2"/>
  <c r="AC17" i="2"/>
  <c r="Y17" i="2"/>
  <c r="U17" i="2"/>
  <c r="T17" i="2"/>
  <c r="AD17" i="2"/>
  <c r="AE17" i="2" s="1"/>
  <c r="Z17" i="2"/>
  <c r="AA17" i="2" s="1"/>
  <c r="V17" i="2"/>
  <c r="W17" i="2" s="1"/>
  <c r="S17" i="2"/>
  <c r="R17" i="2"/>
  <c r="O17" i="2"/>
  <c r="N17" i="2"/>
  <c r="AA16" i="2"/>
  <c r="W16" i="2"/>
  <c r="S16" i="2"/>
  <c r="O16" i="2"/>
  <c r="Q37" i="2"/>
  <c r="Q36" i="2"/>
  <c r="Q35" i="2"/>
  <c r="Q34" i="2"/>
  <c r="Q32" i="2"/>
  <c r="Q31" i="2"/>
  <c r="Q30" i="2"/>
  <c r="Q29" i="2"/>
  <c r="Q28" i="2"/>
  <c r="Q27" i="2"/>
  <c r="Q26" i="2"/>
  <c r="Q25" i="2"/>
  <c r="Q24" i="2"/>
  <c r="Q23" i="2"/>
  <c r="Q22" i="2"/>
  <c r="Q21" i="2"/>
  <c r="Q8" i="2"/>
  <c r="Q7" i="2"/>
  <c r="Q6" i="2"/>
  <c r="Q5" i="2"/>
  <c r="Q4" i="2"/>
  <c r="AW17" i="2"/>
  <c r="AX17" i="2" s="1"/>
  <c r="AO17" i="2"/>
  <c r="AP17" i="2" s="1"/>
  <c r="AL33" i="2"/>
  <c r="AL16" i="2"/>
  <c r="AL15" i="2"/>
  <c r="AL13" i="2"/>
  <c r="AL7" i="2"/>
  <c r="AL5" i="2"/>
  <c r="AL4" i="2"/>
  <c r="AH16" i="2"/>
  <c r="AP16" i="2"/>
  <c r="DM14" i="2"/>
  <c r="Q17" i="2" l="1"/>
  <c r="D15" i="2"/>
  <c r="K14" i="2"/>
  <c r="K13" i="2"/>
  <c r="K12" i="2"/>
  <c r="K11" i="2"/>
  <c r="K10" i="2"/>
  <c r="K9" i="2"/>
  <c r="P13" i="2"/>
  <c r="U13" i="2"/>
  <c r="T13" i="2"/>
  <c r="Y13" i="2"/>
  <c r="X13" i="2"/>
  <c r="AC13" i="2"/>
  <c r="AB13" i="2"/>
  <c r="AD13" i="2"/>
  <c r="AD14" i="2" s="1"/>
  <c r="AD12" i="2"/>
  <c r="AD11" i="2"/>
  <c r="AD10" i="2"/>
  <c r="AD9" i="2"/>
  <c r="R14" i="2"/>
  <c r="V14" i="2"/>
  <c r="N14" i="2"/>
  <c r="O13" i="2"/>
  <c r="S13" i="2"/>
  <c r="W13" i="2"/>
  <c r="AG14" i="2"/>
  <c r="AQ13" i="2"/>
  <c r="AM13" i="2"/>
  <c r="AO14" i="2"/>
  <c r="AK14" i="2"/>
  <c r="AV13" i="2"/>
  <c r="AR13" i="2"/>
  <c r="AP13" i="2"/>
  <c r="AW12" i="2"/>
  <c r="AW11" i="2"/>
  <c r="AW10" i="2"/>
  <c r="AW9" i="2"/>
  <c r="BC13" i="2"/>
  <c r="BG13" i="2"/>
  <c r="BF13" i="2"/>
  <c r="BK13" i="2"/>
  <c r="BJ13" i="2"/>
  <c r="BO13" i="2"/>
  <c r="BN13" i="2"/>
  <c r="AZ14" i="2"/>
  <c r="BH14" i="2"/>
  <c r="BP13" i="2"/>
  <c r="BP14" i="2" s="1"/>
  <c r="BP12" i="2"/>
  <c r="BP11" i="2"/>
  <c r="BP10" i="2"/>
  <c r="BP9" i="2"/>
  <c r="CH13" i="2"/>
  <c r="CG13" i="2"/>
  <c r="CD13" i="2"/>
  <c r="CC13" i="2"/>
  <c r="BZ13" i="2"/>
  <c r="BY13" i="2"/>
  <c r="BV13" i="2"/>
  <c r="BU13" i="2"/>
  <c r="DP13" i="2"/>
  <c r="DO13" i="2"/>
  <c r="DL13" i="2"/>
  <c r="DK13" i="2"/>
  <c r="DH13" i="2"/>
  <c r="DG13" i="2"/>
  <c r="DA13" i="2"/>
  <c r="CZ13" i="2"/>
  <c r="CW13" i="2"/>
  <c r="CV13" i="2"/>
  <c r="CS13" i="2"/>
  <c r="CR13" i="2"/>
  <c r="CO13" i="2"/>
  <c r="CN13" i="2"/>
  <c r="CI13" i="2"/>
  <c r="CI14" i="2" s="1"/>
  <c r="CI12" i="2"/>
  <c r="CI11" i="2"/>
  <c r="CI10" i="2"/>
  <c r="CI9" i="2"/>
  <c r="CA14" i="2"/>
  <c r="BS14" i="2"/>
  <c r="DB13" i="2"/>
  <c r="DD13" i="2" s="1"/>
  <c r="DB12" i="2"/>
  <c r="DB15" i="2"/>
  <c r="DB11" i="2"/>
  <c r="DB10" i="2"/>
  <c r="DB9" i="2"/>
  <c r="CX14" i="2"/>
  <c r="CT14" i="2"/>
  <c r="CP14" i="2"/>
  <c r="CL14" i="2"/>
  <c r="DE14" i="2"/>
  <c r="AE13" i="2" l="1"/>
  <c r="DB14" i="2"/>
  <c r="AU13" i="2"/>
  <c r="AJ13" i="2"/>
  <c r="AH13" i="2"/>
  <c r="AN13" i="2"/>
  <c r="AW13" i="2"/>
  <c r="AW14" i="2" s="1"/>
  <c r="CK13" i="2"/>
  <c r="DI14" i="2"/>
  <c r="Z15" i="2"/>
  <c r="Z14" i="2" s="1"/>
  <c r="Z8" i="2"/>
  <c r="Z7" i="2"/>
  <c r="Z6" i="2"/>
  <c r="Z5" i="2"/>
  <c r="Z4" i="2"/>
  <c r="AA13" i="2" s="1"/>
  <c r="AF37" i="2"/>
  <c r="AY37" i="2"/>
  <c r="AX37" i="2"/>
  <c r="O37" i="2"/>
  <c r="P37" i="2"/>
  <c r="R37" i="2"/>
  <c r="U37" i="2" s="1"/>
  <c r="AI37" i="2"/>
  <c r="BB37" i="2"/>
  <c r="BU37" i="2"/>
  <c r="BZ37" i="2"/>
  <c r="CD37" i="2"/>
  <c r="S15" i="2"/>
  <c r="S8" i="2"/>
  <c r="S7" i="2"/>
  <c r="S6" i="2"/>
  <c r="S5" i="2"/>
  <c r="S4" i="2"/>
  <c r="O15" i="2"/>
  <c r="O8" i="2"/>
  <c r="O7" i="2"/>
  <c r="O6" i="2"/>
  <c r="O5" i="2"/>
  <c r="O4" i="2"/>
  <c r="W15" i="2"/>
  <c r="W8" i="2"/>
  <c r="W7" i="2"/>
  <c r="W6" i="2"/>
  <c r="W5" i="2"/>
  <c r="W4" i="2"/>
  <c r="AE16" i="2"/>
  <c r="AE15" i="2"/>
  <c r="AE8" i="2"/>
  <c r="AE7" i="2"/>
  <c r="AE6" i="2"/>
  <c r="AE5" i="2"/>
  <c r="AE4" i="2"/>
  <c r="AH15" i="2"/>
  <c r="AH7" i="2"/>
  <c r="AH5" i="2"/>
  <c r="AH4" i="2"/>
  <c r="AP15" i="2"/>
  <c r="AP8" i="2"/>
  <c r="AP7" i="2"/>
  <c r="AP6" i="2"/>
  <c r="AP5" i="2"/>
  <c r="AP4" i="2"/>
  <c r="AX16" i="2"/>
  <c r="AX15" i="2"/>
  <c r="AX8" i="2"/>
  <c r="AX7" i="2"/>
  <c r="AX6" i="2"/>
  <c r="AX5" i="2"/>
  <c r="AX4" i="2"/>
  <c r="BA16" i="2"/>
  <c r="BA15" i="2"/>
  <c r="BA13" i="2"/>
  <c r="BA7" i="2"/>
  <c r="BA5" i="2"/>
  <c r="BA4" i="2"/>
  <c r="BE13" i="2"/>
  <c r="BE7" i="2"/>
  <c r="BE5" i="2"/>
  <c r="BE4" i="2"/>
  <c r="BI15" i="2"/>
  <c r="BI13" i="2"/>
  <c r="BI7" i="2"/>
  <c r="BI5" i="2"/>
  <c r="BI4" i="2"/>
  <c r="BQ16" i="2"/>
  <c r="BQ15" i="2"/>
  <c r="BQ13" i="2"/>
  <c r="BQ7" i="2"/>
  <c r="BQ5" i="2"/>
  <c r="BQ4" i="2"/>
  <c r="BT16" i="2"/>
  <c r="BT15" i="2"/>
  <c r="BT13" i="2"/>
  <c r="BT7" i="2"/>
  <c r="BT5" i="2"/>
  <c r="BT4" i="2"/>
  <c r="CB15" i="2"/>
  <c r="CB13" i="2"/>
  <c r="CB7" i="2"/>
  <c r="CB5" i="2"/>
  <c r="CB4" i="2"/>
  <c r="CM16" i="2"/>
  <c r="CM15" i="2"/>
  <c r="CM13" i="2"/>
  <c r="CM7" i="2"/>
  <c r="CM5" i="2"/>
  <c r="CM4" i="2"/>
  <c r="CQ16" i="2"/>
  <c r="CQ15" i="2"/>
  <c r="CQ13" i="2"/>
  <c r="CQ7" i="2"/>
  <c r="CQ5" i="2"/>
  <c r="CQ4" i="2"/>
  <c r="CU16" i="2"/>
  <c r="CU15" i="2"/>
  <c r="CU13" i="2"/>
  <c r="CU7" i="2"/>
  <c r="CU5" i="2"/>
  <c r="CU4" i="2"/>
  <c r="CY16" i="2"/>
  <c r="CY15" i="2"/>
  <c r="CY13" i="2"/>
  <c r="CY7" i="2"/>
  <c r="CY5" i="2"/>
  <c r="CY4" i="2"/>
  <c r="DF16" i="2"/>
  <c r="DF15" i="2"/>
  <c r="DF13" i="2"/>
  <c r="DF7" i="2"/>
  <c r="DF5" i="2"/>
  <c r="DF4" i="2"/>
  <c r="DJ16" i="2"/>
  <c r="DJ15" i="2"/>
  <c r="DJ13" i="2"/>
  <c r="DJ7" i="2"/>
  <c r="DJ5" i="2"/>
  <c r="DJ4" i="2"/>
  <c r="CN37" i="2"/>
  <c r="CS37" i="2"/>
  <c r="CR37" i="2"/>
  <c r="CW37" i="2"/>
  <c r="CV37" i="2"/>
  <c r="DA37" i="2"/>
  <c r="DH37" i="2"/>
  <c r="DG37" i="2"/>
  <c r="DN16" i="2"/>
  <c r="DN15" i="2"/>
  <c r="DN13" i="2"/>
  <c r="DN7" i="2"/>
  <c r="DN5" i="2"/>
  <c r="DN4" i="2"/>
  <c r="BB13" i="2" l="1"/>
  <c r="AI13" i="2"/>
  <c r="AX13" i="2"/>
  <c r="AY13" i="2"/>
  <c r="BR13" i="2"/>
  <c r="S37" i="2"/>
  <c r="DM37" i="2" l="1"/>
  <c r="D57" i="4" l="1"/>
  <c r="D69" i="4" l="1"/>
  <c r="D64" i="4"/>
  <c r="D61" i="4"/>
  <c r="D54" i="4"/>
  <c r="D49" i="4"/>
  <c r="E49" i="4" s="1"/>
  <c r="E44" i="4"/>
  <c r="E43" i="4"/>
  <c r="E42" i="4"/>
  <c r="E41" i="4"/>
  <c r="E40" i="4"/>
  <c r="E39" i="4"/>
  <c r="D38" i="4"/>
  <c r="E38" i="4" s="1"/>
  <c r="E36" i="4"/>
  <c r="E35" i="4"/>
  <c r="E34" i="4"/>
  <c r="E33" i="4"/>
  <c r="E32" i="4"/>
  <c r="E31" i="4"/>
  <c r="D30" i="4"/>
  <c r="E29" i="4"/>
  <c r="E28" i="4"/>
  <c r="E27" i="4"/>
  <c r="E26" i="4"/>
  <c r="E25" i="4"/>
  <c r="E24" i="4"/>
  <c r="E23" i="4"/>
  <c r="D22" i="4"/>
  <c r="E20" i="4"/>
  <c r="E19" i="4"/>
  <c r="E18" i="4"/>
  <c r="E17" i="4"/>
  <c r="E16" i="4"/>
  <c r="E15" i="4"/>
  <c r="E14" i="4"/>
  <c r="E13" i="4"/>
  <c r="D12" i="4"/>
  <c r="E12" i="4" s="1"/>
  <c r="E11" i="4"/>
  <c r="E10" i="4"/>
  <c r="E9" i="4"/>
  <c r="E8" i="4"/>
  <c r="E7" i="4"/>
  <c r="E6" i="4"/>
  <c r="E5" i="4"/>
  <c r="E4" i="4"/>
  <c r="D3" i="4"/>
  <c r="C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DO33" i="2"/>
  <c r="D21" i="4" l="1"/>
  <c r="D2" i="4"/>
  <c r="E2" i="4" s="1"/>
  <c r="D55" i="4"/>
  <c r="E3" i="4"/>
  <c r="D70" i="4"/>
  <c r="D62" i="4"/>
  <c r="E22" i="4"/>
  <c r="D37" i="4"/>
  <c r="E37" i="4" s="1"/>
  <c r="DM24" i="2"/>
  <c r="D45" i="4" l="1"/>
  <c r="DP37" i="2" l="1"/>
  <c r="DO37" i="2"/>
  <c r="DM36" i="2"/>
  <c r="DM35" i="2"/>
  <c r="DP33" i="2"/>
  <c r="DP32" i="2"/>
  <c r="DO32" i="2"/>
  <c r="DP31" i="2"/>
  <c r="DO31" i="2"/>
  <c r="DM30" i="2"/>
  <c r="DP29" i="2"/>
  <c r="DO29" i="2"/>
  <c r="DP28" i="2"/>
  <c r="DO28" i="2"/>
  <c r="DM27" i="2"/>
  <c r="DP26" i="2"/>
  <c r="DO26" i="2"/>
  <c r="DP25" i="2"/>
  <c r="DO25" i="2"/>
  <c r="DP23" i="2"/>
  <c r="DO23" i="2"/>
  <c r="DP22" i="2"/>
  <c r="DO22" i="2"/>
  <c r="DM21" i="2"/>
  <c r="DP15" i="2"/>
  <c r="DO15" i="2"/>
  <c r="DP7" i="2"/>
  <c r="DO7" i="2"/>
  <c r="DM6" i="2"/>
  <c r="DN6" i="2" s="1"/>
  <c r="DP5" i="2"/>
  <c r="DO5" i="2"/>
  <c r="DP4" i="2"/>
  <c r="DO4" i="2"/>
  <c r="DB16" i="2"/>
  <c r="DM8" i="2" l="1"/>
  <c r="DN8" i="2" s="1"/>
  <c r="DM34" i="2"/>
  <c r="DL37" i="2"/>
  <c r="DK37" i="2"/>
  <c r="DN21" i="2" l="1"/>
  <c r="DN37" i="2"/>
  <c r="DN28" i="2"/>
  <c r="DN23" i="2"/>
  <c r="DN22" i="2"/>
  <c r="DN29" i="2"/>
  <c r="DN34" i="2"/>
  <c r="DN26" i="2"/>
  <c r="DN33" i="2"/>
  <c r="DN25" i="2"/>
  <c r="DN32" i="2"/>
  <c r="DN31" i="2"/>
  <c r="DN24" i="2"/>
  <c r="DN36" i="2"/>
  <c r="DM17" i="2"/>
  <c r="DN17" i="2" s="1"/>
  <c r="DN35" i="2"/>
  <c r="DN30" i="2"/>
  <c r="DN27" i="2"/>
  <c r="DB29" i="2"/>
  <c r="F32" i="5" l="1"/>
  <c r="AY31" i="5"/>
  <c r="AW31" i="5"/>
  <c r="AT31" i="5"/>
  <c r="AU31" i="5" s="1"/>
  <c r="AP31" i="5"/>
  <c r="AN31" i="5"/>
  <c r="AL31" i="5"/>
  <c r="AK31" i="5"/>
  <c r="AI31" i="5" s="1"/>
  <c r="AG31" i="5"/>
  <c r="AD31" i="5"/>
  <c r="AE31" i="5" s="1"/>
  <c r="W31" i="5"/>
  <c r="X31" i="5" s="1"/>
  <c r="T31" i="5"/>
  <c r="Q31" i="5"/>
  <c r="O31" i="5"/>
  <c r="M31" i="5"/>
  <c r="K31" i="5"/>
  <c r="I31" i="5"/>
  <c r="H31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E33" i="5"/>
  <c r="D33" i="5" s="1"/>
  <c r="BA33" i="5"/>
  <c r="AZ33" i="5"/>
  <c r="AX33" i="5"/>
  <c r="AV33" i="5"/>
  <c r="AS33" i="5"/>
  <c r="AQ33" i="5"/>
  <c r="AO33" i="5"/>
  <c r="AM33" i="5"/>
  <c r="AJ33" i="5"/>
  <c r="AH33" i="5"/>
  <c r="Y33" i="5"/>
  <c r="P33" i="5"/>
  <c r="L33" i="5"/>
  <c r="J33" i="5"/>
  <c r="G33" i="5"/>
  <c r="AY30" i="5"/>
  <c r="AW30" i="5"/>
  <c r="AT30" i="5"/>
  <c r="AU30" i="5" s="1"/>
  <c r="AP30" i="5"/>
  <c r="AN30" i="5"/>
  <c r="AK30" i="5"/>
  <c r="AL30" i="5" s="1"/>
  <c r="AI30" i="5"/>
  <c r="AG30" i="5"/>
  <c r="AD30" i="5"/>
  <c r="AE30" i="5" s="1"/>
  <c r="W30" i="5"/>
  <c r="X30" i="5" s="1"/>
  <c r="T30" i="5"/>
  <c r="Q30" i="5"/>
  <c r="O30" i="5"/>
  <c r="M30" i="5"/>
  <c r="K30" i="5"/>
  <c r="I30" i="5"/>
  <c r="H30" i="5"/>
  <c r="AY29" i="5"/>
  <c r="AW29" i="5"/>
  <c r="AT29" i="5"/>
  <c r="AU29" i="5" s="1"/>
  <c r="AP29" i="5"/>
  <c r="AN29" i="5"/>
  <c r="AK29" i="5"/>
  <c r="AL29" i="5" s="1"/>
  <c r="AG29" i="5"/>
  <c r="AD29" i="5"/>
  <c r="AE29" i="5" s="1"/>
  <c r="W29" i="5"/>
  <c r="X29" i="5" s="1"/>
  <c r="T29" i="5"/>
  <c r="Q29" i="5"/>
  <c r="O29" i="5"/>
  <c r="M29" i="5"/>
  <c r="K29" i="5"/>
  <c r="I29" i="5"/>
  <c r="H29" i="5"/>
  <c r="AY28" i="5"/>
  <c r="AW28" i="5"/>
  <c r="AT28" i="5"/>
  <c r="AU28" i="5" s="1"/>
  <c r="AR28" i="5"/>
  <c r="AP28" i="5"/>
  <c r="AN28" i="5"/>
  <c r="AK28" i="5"/>
  <c r="AL28" i="5" s="1"/>
  <c r="AG28" i="5"/>
  <c r="AD28" i="5"/>
  <c r="AE28" i="5" s="1"/>
  <c r="W28" i="5"/>
  <c r="X28" i="5" s="1"/>
  <c r="T28" i="5"/>
  <c r="Q28" i="5"/>
  <c r="O28" i="5"/>
  <c r="M28" i="5"/>
  <c r="K28" i="5"/>
  <c r="I28" i="5"/>
  <c r="H28" i="5"/>
  <c r="AY27" i="5"/>
  <c r="AW27" i="5"/>
  <c r="AT27" i="5"/>
  <c r="AU27" i="5" s="1"/>
  <c r="AP27" i="5"/>
  <c r="AN27" i="5"/>
  <c r="AK27" i="5"/>
  <c r="AL27" i="5" s="1"/>
  <c r="AF27" i="5"/>
  <c r="AG27" i="5" s="1"/>
  <c r="W27" i="5"/>
  <c r="R27" i="5" s="1"/>
  <c r="T27" i="5"/>
  <c r="Q27" i="5"/>
  <c r="O27" i="5"/>
  <c r="M27" i="5"/>
  <c r="K27" i="5"/>
  <c r="I27" i="5"/>
  <c r="H27" i="5"/>
  <c r="AT26" i="5"/>
  <c r="AR26" i="5" s="1"/>
  <c r="AK26" i="5"/>
  <c r="AI26" i="5" s="1"/>
  <c r="AG26" i="5"/>
  <c r="AD26" i="5"/>
  <c r="AE26" i="5" s="1"/>
  <c r="W26" i="5"/>
  <c r="X26" i="5" s="1"/>
  <c r="T26" i="5"/>
  <c r="Q26" i="5"/>
  <c r="O26" i="5"/>
  <c r="M26" i="5"/>
  <c r="K26" i="5"/>
  <c r="I26" i="5"/>
  <c r="H26" i="5"/>
  <c r="AY25" i="5"/>
  <c r="AW25" i="5"/>
  <c r="AT25" i="5"/>
  <c r="AR25" i="5" s="1"/>
  <c r="AP25" i="5"/>
  <c r="AN25" i="5"/>
  <c r="AK25" i="5"/>
  <c r="AL25" i="5" s="1"/>
  <c r="AG25" i="5"/>
  <c r="AD25" i="5"/>
  <c r="AB25" i="5" s="1"/>
  <c r="W25" i="5"/>
  <c r="R25" i="5" s="1"/>
  <c r="T25" i="5"/>
  <c r="Q25" i="5"/>
  <c r="O25" i="5"/>
  <c r="M25" i="5"/>
  <c r="K25" i="5"/>
  <c r="I25" i="5"/>
  <c r="H25" i="5"/>
  <c r="AY24" i="5"/>
  <c r="AW24" i="5"/>
  <c r="AT24" i="5"/>
  <c r="AU24" i="5" s="1"/>
  <c r="AP24" i="5"/>
  <c r="AN24" i="5"/>
  <c r="AK24" i="5"/>
  <c r="AI24" i="5" s="1"/>
  <c r="AG24" i="5"/>
  <c r="AD24" i="5"/>
  <c r="AE24" i="5" s="1"/>
  <c r="W24" i="5"/>
  <c r="X24" i="5" s="1"/>
  <c r="T24" i="5"/>
  <c r="Q24" i="5"/>
  <c r="O24" i="5"/>
  <c r="M24" i="5"/>
  <c r="K24" i="5"/>
  <c r="I24" i="5"/>
  <c r="H24" i="5"/>
  <c r="AY23" i="5"/>
  <c r="AW23" i="5"/>
  <c r="AT23" i="5"/>
  <c r="AU23" i="5" s="1"/>
  <c r="AP23" i="5"/>
  <c r="AN23" i="5"/>
  <c r="AK23" i="5"/>
  <c r="AL23" i="5" s="1"/>
  <c r="AG23" i="5"/>
  <c r="AD23" i="5"/>
  <c r="AB23" i="5" s="1"/>
  <c r="W23" i="5"/>
  <c r="X23" i="5" s="1"/>
  <c r="T23" i="5"/>
  <c r="Q23" i="5"/>
  <c r="O23" i="5"/>
  <c r="M23" i="5"/>
  <c r="K23" i="5"/>
  <c r="I23" i="5"/>
  <c r="H23" i="5"/>
  <c r="AY22" i="5"/>
  <c r="AW22" i="5"/>
  <c r="AT22" i="5"/>
  <c r="AU22" i="5" s="1"/>
  <c r="AP22" i="5"/>
  <c r="AN22" i="5"/>
  <c r="AK22" i="5"/>
  <c r="AL22" i="5" s="1"/>
  <c r="AG22" i="5"/>
  <c r="AD22" i="5"/>
  <c r="AE22" i="5" s="1"/>
  <c r="W22" i="5"/>
  <c r="R22" i="5" s="1"/>
  <c r="V22" i="5"/>
  <c r="T22" i="5"/>
  <c r="Q22" i="5"/>
  <c r="O22" i="5"/>
  <c r="M22" i="5"/>
  <c r="K22" i="5"/>
  <c r="I22" i="5"/>
  <c r="H22" i="5"/>
  <c r="AY21" i="5"/>
  <c r="AW21" i="5"/>
  <c r="AT21" i="5"/>
  <c r="AU21" i="5" s="1"/>
  <c r="AP21" i="5"/>
  <c r="AN21" i="5"/>
  <c r="AK21" i="5"/>
  <c r="AI21" i="5" s="1"/>
  <c r="AG21" i="5"/>
  <c r="AD21" i="5"/>
  <c r="AE21" i="5" s="1"/>
  <c r="W21" i="5"/>
  <c r="X21" i="5" s="1"/>
  <c r="T21" i="5"/>
  <c r="Q21" i="5"/>
  <c r="O21" i="5"/>
  <c r="M21" i="5"/>
  <c r="K21" i="5"/>
  <c r="I21" i="5"/>
  <c r="H21" i="5"/>
  <c r="AY20" i="5"/>
  <c r="AW20" i="5"/>
  <c r="AT20" i="5"/>
  <c r="AU20" i="5" s="1"/>
  <c r="AP20" i="5"/>
  <c r="AN20" i="5"/>
  <c r="AK20" i="5"/>
  <c r="AL20" i="5" s="1"/>
  <c r="AG20" i="5"/>
  <c r="AD20" i="5"/>
  <c r="AB20" i="5" s="1"/>
  <c r="W20" i="5"/>
  <c r="X20" i="5" s="1"/>
  <c r="T20" i="5"/>
  <c r="Q20" i="5"/>
  <c r="O20" i="5"/>
  <c r="M20" i="5"/>
  <c r="K20" i="5"/>
  <c r="I20" i="5"/>
  <c r="H20" i="5"/>
  <c r="AY19" i="5"/>
  <c r="AW19" i="5"/>
  <c r="AT19" i="5"/>
  <c r="AU19" i="5" s="1"/>
  <c r="AP19" i="5"/>
  <c r="AN19" i="5"/>
  <c r="AK19" i="5"/>
  <c r="AL19" i="5" s="1"/>
  <c r="AG19" i="5"/>
  <c r="AD19" i="5"/>
  <c r="AE19" i="5" s="1"/>
  <c r="W19" i="5"/>
  <c r="V19" i="5" s="1"/>
  <c r="T19" i="5"/>
  <c r="Q19" i="5"/>
  <c r="O19" i="5"/>
  <c r="M19" i="5"/>
  <c r="K19" i="5"/>
  <c r="I19" i="5"/>
  <c r="H19" i="5"/>
  <c r="AY18" i="5"/>
  <c r="AW18" i="5"/>
  <c r="AT18" i="5"/>
  <c r="AU18" i="5" s="1"/>
  <c r="AP18" i="5"/>
  <c r="AN18" i="5"/>
  <c r="AK18" i="5"/>
  <c r="AL18" i="5" s="1"/>
  <c r="AG18" i="5"/>
  <c r="AD18" i="5"/>
  <c r="AE18" i="5" s="1"/>
  <c r="W18" i="5"/>
  <c r="X18" i="5" s="1"/>
  <c r="T18" i="5"/>
  <c r="Q18" i="5"/>
  <c r="O18" i="5"/>
  <c r="M18" i="5"/>
  <c r="K18" i="5"/>
  <c r="I18" i="5"/>
  <c r="H18" i="5"/>
  <c r="AY17" i="5"/>
  <c r="AW17" i="5"/>
  <c r="AT17" i="5"/>
  <c r="AR17" i="5" s="1"/>
  <c r="AP17" i="5"/>
  <c r="AN17" i="5"/>
  <c r="AK17" i="5"/>
  <c r="AL17" i="5" s="1"/>
  <c r="AG17" i="5"/>
  <c r="AD17" i="5"/>
  <c r="AB17" i="5" s="1"/>
  <c r="W17" i="5"/>
  <c r="R17" i="5" s="1"/>
  <c r="T17" i="5"/>
  <c r="Q17" i="5"/>
  <c r="O17" i="5"/>
  <c r="M17" i="5"/>
  <c r="K17" i="5"/>
  <c r="I17" i="5"/>
  <c r="H17" i="5"/>
  <c r="AY16" i="5"/>
  <c r="AW16" i="5"/>
  <c r="AT16" i="5"/>
  <c r="AR16" i="5" s="1"/>
  <c r="AP16" i="5"/>
  <c r="AN16" i="5"/>
  <c r="AK16" i="5"/>
  <c r="AI16" i="5" s="1"/>
  <c r="AG16" i="5"/>
  <c r="AD16" i="5"/>
  <c r="AE16" i="5" s="1"/>
  <c r="W16" i="5"/>
  <c r="V16" i="5" s="1"/>
  <c r="T16" i="5"/>
  <c r="Q16" i="5"/>
  <c r="O16" i="5"/>
  <c r="M16" i="5"/>
  <c r="K16" i="5"/>
  <c r="I16" i="5"/>
  <c r="H16" i="5"/>
  <c r="AY15" i="5"/>
  <c r="AW15" i="5"/>
  <c r="AT15" i="5"/>
  <c r="AU15" i="5" s="1"/>
  <c r="AP15" i="5"/>
  <c r="AN15" i="5"/>
  <c r="AK15" i="5"/>
  <c r="AI15" i="5" s="1"/>
  <c r="AG15" i="5"/>
  <c r="AD15" i="5"/>
  <c r="AE15" i="5" s="1"/>
  <c r="W15" i="5"/>
  <c r="X15" i="5" s="1"/>
  <c r="T15" i="5"/>
  <c r="Q15" i="5"/>
  <c r="O15" i="5"/>
  <c r="M15" i="5"/>
  <c r="K15" i="5"/>
  <c r="I15" i="5"/>
  <c r="H15" i="5"/>
  <c r="AW14" i="5"/>
  <c r="AT14" i="5"/>
  <c r="AR14" i="5" s="1"/>
  <c r="AP14" i="5"/>
  <c r="AN14" i="5"/>
  <c r="AK14" i="5"/>
  <c r="AL14" i="5" s="1"/>
  <c r="AG14" i="5"/>
  <c r="AD14" i="5"/>
  <c r="AB14" i="5" s="1"/>
  <c r="W14" i="5"/>
  <c r="R14" i="5" s="1"/>
  <c r="T14" i="5"/>
  <c r="Q14" i="5"/>
  <c r="O14" i="5"/>
  <c r="M14" i="5"/>
  <c r="K14" i="5"/>
  <c r="I14" i="5"/>
  <c r="H14" i="5"/>
  <c r="AY13" i="5"/>
  <c r="AW13" i="5"/>
  <c r="AT13" i="5"/>
  <c r="AU13" i="5" s="1"/>
  <c r="AP13" i="5"/>
  <c r="AN13" i="5"/>
  <c r="AK13" i="5"/>
  <c r="AI13" i="5" s="1"/>
  <c r="AG13" i="5"/>
  <c r="AD13" i="5"/>
  <c r="AE13" i="5" s="1"/>
  <c r="W13" i="5"/>
  <c r="R13" i="5" s="1"/>
  <c r="T13" i="5"/>
  <c r="Q13" i="5"/>
  <c r="O13" i="5"/>
  <c r="M13" i="5"/>
  <c r="K13" i="5"/>
  <c r="I13" i="5"/>
  <c r="H13" i="5"/>
  <c r="AY12" i="5"/>
  <c r="AW12" i="5"/>
  <c r="AT12" i="5"/>
  <c r="AU12" i="5" s="1"/>
  <c r="AP12" i="5"/>
  <c r="AN12" i="5"/>
  <c r="AK12" i="5"/>
  <c r="AL12" i="5" s="1"/>
  <c r="AG12" i="5"/>
  <c r="AD12" i="5"/>
  <c r="AE12" i="5" s="1"/>
  <c r="AB12" i="5"/>
  <c r="AC12" i="5" s="1"/>
  <c r="W12" i="5"/>
  <c r="X12" i="5" s="1"/>
  <c r="T12" i="5"/>
  <c r="Q12" i="5"/>
  <c r="O12" i="5"/>
  <c r="M12" i="5"/>
  <c r="K12" i="5"/>
  <c r="I12" i="5"/>
  <c r="H12" i="5"/>
  <c r="AY11" i="5"/>
  <c r="AW11" i="5"/>
  <c r="AT11" i="5"/>
  <c r="AU11" i="5" s="1"/>
  <c r="AP11" i="5"/>
  <c r="AN11" i="5"/>
  <c r="AK11" i="5"/>
  <c r="AL11" i="5" s="1"/>
  <c r="AG11" i="5"/>
  <c r="AD11" i="5"/>
  <c r="AE11" i="5" s="1"/>
  <c r="W11" i="5"/>
  <c r="X11" i="5" s="1"/>
  <c r="T11" i="5"/>
  <c r="Q11" i="5"/>
  <c r="O11" i="5"/>
  <c r="M11" i="5"/>
  <c r="K11" i="5"/>
  <c r="I11" i="5"/>
  <c r="H11" i="5"/>
  <c r="AY10" i="5"/>
  <c r="AW10" i="5"/>
  <c r="AT10" i="5"/>
  <c r="AU10" i="5" s="1"/>
  <c r="AP10" i="5"/>
  <c r="AN10" i="5"/>
  <c r="AK10" i="5"/>
  <c r="AL10" i="5" s="1"/>
  <c r="AG10" i="5"/>
  <c r="AD10" i="5"/>
  <c r="AB10" i="5" s="1"/>
  <c r="W10" i="5"/>
  <c r="X10" i="5" s="1"/>
  <c r="T10" i="5"/>
  <c r="Q10" i="5"/>
  <c r="O10" i="5"/>
  <c r="M10" i="5"/>
  <c r="K10" i="5"/>
  <c r="I10" i="5"/>
  <c r="H10" i="5"/>
  <c r="AY9" i="5"/>
  <c r="AW9" i="5"/>
  <c r="AT9" i="5"/>
  <c r="AU9" i="5" s="1"/>
  <c r="AP9" i="5"/>
  <c r="AN9" i="5"/>
  <c r="AK9" i="5"/>
  <c r="AL9" i="5" s="1"/>
  <c r="AG9" i="5"/>
  <c r="AD9" i="5"/>
  <c r="AB9" i="5" s="1"/>
  <c r="W9" i="5"/>
  <c r="U9" i="5" s="1"/>
  <c r="O9" i="5"/>
  <c r="M9" i="5"/>
  <c r="K9" i="5"/>
  <c r="I9" i="5"/>
  <c r="H9" i="5"/>
  <c r="AY8" i="5"/>
  <c r="AW8" i="5"/>
  <c r="AT8" i="5"/>
  <c r="AU8" i="5" s="1"/>
  <c r="AP8" i="5"/>
  <c r="AN8" i="5"/>
  <c r="AK8" i="5"/>
  <c r="AL8" i="5" s="1"/>
  <c r="AG8" i="5"/>
  <c r="AD8" i="5"/>
  <c r="AE8" i="5" s="1"/>
  <c r="W8" i="5"/>
  <c r="X8" i="5" s="1"/>
  <c r="T8" i="5"/>
  <c r="Q8" i="5"/>
  <c r="O8" i="5"/>
  <c r="M8" i="5"/>
  <c r="K8" i="5"/>
  <c r="I8" i="5"/>
  <c r="H8" i="5"/>
  <c r="AY7" i="5"/>
  <c r="AW7" i="5"/>
  <c r="AT7" i="5"/>
  <c r="AU7" i="5" s="1"/>
  <c r="AP7" i="5"/>
  <c r="AN7" i="5"/>
  <c r="AK7" i="5"/>
  <c r="AL7" i="5" s="1"/>
  <c r="AG7" i="5"/>
  <c r="AD7" i="5"/>
  <c r="AB7" i="5" s="1"/>
  <c r="W7" i="5"/>
  <c r="X7" i="5" s="1"/>
  <c r="T7" i="5"/>
  <c r="Q7" i="5"/>
  <c r="O7" i="5"/>
  <c r="M7" i="5"/>
  <c r="K7" i="5"/>
  <c r="I7" i="5"/>
  <c r="H7" i="5"/>
  <c r="AY6" i="5"/>
  <c r="AW6" i="5"/>
  <c r="AT6" i="5"/>
  <c r="AU6" i="5" s="1"/>
  <c r="AP6" i="5"/>
  <c r="AN6" i="5"/>
  <c r="AK6" i="5"/>
  <c r="AL6" i="5" s="1"/>
  <c r="AG6" i="5"/>
  <c r="AD6" i="5"/>
  <c r="AB6" i="5" s="1"/>
  <c r="W6" i="5"/>
  <c r="X6" i="5" s="1"/>
  <c r="T6" i="5"/>
  <c r="Q6" i="5"/>
  <c r="O6" i="5"/>
  <c r="M6" i="5"/>
  <c r="K6" i="5"/>
  <c r="I6" i="5"/>
  <c r="H6" i="5"/>
  <c r="AW5" i="5"/>
  <c r="AU5" i="5"/>
  <c r="AN5" i="5"/>
  <c r="AK5" i="5"/>
  <c r="AL5" i="5" s="1"/>
  <c r="W5" i="5"/>
  <c r="R5" i="5" s="1"/>
  <c r="O5" i="5"/>
  <c r="M5" i="5"/>
  <c r="I5" i="5"/>
  <c r="AW4" i="5"/>
  <c r="AT4" i="5"/>
  <c r="AU4" i="5" s="1"/>
  <c r="AP4" i="5"/>
  <c r="AN4" i="5"/>
  <c r="AK4" i="5"/>
  <c r="AL4" i="5" s="1"/>
  <c r="AG4" i="5"/>
  <c r="AD4" i="5"/>
  <c r="AE4" i="5" s="1"/>
  <c r="W4" i="5"/>
  <c r="X4" i="5" s="1"/>
  <c r="T4" i="5"/>
  <c r="Q4" i="5"/>
  <c r="O4" i="5"/>
  <c r="M4" i="5"/>
  <c r="K4" i="5"/>
  <c r="I4" i="5"/>
  <c r="H4" i="5"/>
  <c r="AY3" i="5"/>
  <c r="AW3" i="5"/>
  <c r="AU3" i="5"/>
  <c r="AP3" i="5"/>
  <c r="AN3" i="5"/>
  <c r="AK3" i="5"/>
  <c r="AI3" i="5" s="1"/>
  <c r="R3" i="5"/>
  <c r="O3" i="5"/>
  <c r="I3" i="5"/>
  <c r="AY2" i="5"/>
  <c r="AW2" i="5"/>
  <c r="AT2" i="5"/>
  <c r="AR2" i="5" s="1"/>
  <c r="AP2" i="5"/>
  <c r="AN2" i="5"/>
  <c r="AK2" i="5"/>
  <c r="AL2" i="5" s="1"/>
  <c r="AG2" i="5"/>
  <c r="AD2" i="5"/>
  <c r="AE2" i="5" s="1"/>
  <c r="W2" i="5"/>
  <c r="R2" i="5" s="1"/>
  <c r="T2" i="5"/>
  <c r="Q2" i="5"/>
  <c r="N2" i="5"/>
  <c r="O2" i="5" s="1"/>
  <c r="K2" i="5"/>
  <c r="H2" i="5"/>
  <c r="AN33" i="5" l="1"/>
  <c r="AI4" i="5"/>
  <c r="R29" i="5"/>
  <c r="V29" i="5"/>
  <c r="AR31" i="5"/>
  <c r="V23" i="5"/>
  <c r="H33" i="5"/>
  <c r="AW33" i="5"/>
  <c r="AB31" i="5"/>
  <c r="R31" i="5"/>
  <c r="F33" i="5"/>
  <c r="V31" i="5"/>
  <c r="M2" i="5"/>
  <c r="AB16" i="5"/>
  <c r="AC16" i="5" s="1"/>
  <c r="AR24" i="5"/>
  <c r="AL15" i="5"/>
  <c r="X2" i="5"/>
  <c r="AI20" i="5"/>
  <c r="V2" i="5"/>
  <c r="AI5" i="5"/>
  <c r="V30" i="5"/>
  <c r="AI12" i="5"/>
  <c r="AB18" i="5"/>
  <c r="Z18" i="5" s="1"/>
  <c r="AR8" i="5"/>
  <c r="R11" i="5"/>
  <c r="V20" i="5"/>
  <c r="AR20" i="5"/>
  <c r="AI23" i="5"/>
  <c r="AB30" i="5"/>
  <c r="Z30" i="5" s="1"/>
  <c r="AY33" i="5"/>
  <c r="AB8" i="5"/>
  <c r="AC8" i="5" s="1"/>
  <c r="V11" i="5"/>
  <c r="AI19" i="5"/>
  <c r="AI25" i="5"/>
  <c r="AE7" i="5"/>
  <c r="V13" i="5"/>
  <c r="AR13" i="5"/>
  <c r="AI14" i="5"/>
  <c r="X16" i="5"/>
  <c r="R18" i="5"/>
  <c r="AR21" i="5"/>
  <c r="V24" i="5"/>
  <c r="AR27" i="5"/>
  <c r="N33" i="5"/>
  <c r="M33" i="5" s="1"/>
  <c r="AP33" i="5"/>
  <c r="AB2" i="5"/>
  <c r="AR11" i="5"/>
  <c r="AB13" i="5"/>
  <c r="AC13" i="5" s="1"/>
  <c r="V18" i="5"/>
  <c r="AR22" i="5"/>
  <c r="R26" i="5"/>
  <c r="AD27" i="5"/>
  <c r="AB27" i="5" s="1"/>
  <c r="AC27" i="5" s="1"/>
  <c r="AC30" i="5"/>
  <c r="AF33" i="5"/>
  <c r="AG33" i="5" s="1"/>
  <c r="AB4" i="5"/>
  <c r="AC4" i="5" s="1"/>
  <c r="R6" i="5"/>
  <c r="AI10" i="5"/>
  <c r="V26" i="5"/>
  <c r="AI27" i="5"/>
  <c r="AR29" i="5"/>
  <c r="R16" i="5"/>
  <c r="R8" i="5"/>
  <c r="AR9" i="5"/>
  <c r="AE14" i="5"/>
  <c r="AB19" i="5"/>
  <c r="AC19" i="5" s="1"/>
  <c r="R24" i="5"/>
  <c r="Z23" i="5"/>
  <c r="AC23" i="5"/>
  <c r="AB15" i="5"/>
  <c r="AU16" i="5"/>
  <c r="AL21" i="5"/>
  <c r="I2" i="5"/>
  <c r="V6" i="5"/>
  <c r="AR6" i="5"/>
  <c r="AI7" i="5"/>
  <c r="V8" i="5"/>
  <c r="AE10" i="5"/>
  <c r="Z12" i="5"/>
  <c r="X13" i="5"/>
  <c r="X22" i="5"/>
  <c r="AE23" i="5"/>
  <c r="AT33" i="5"/>
  <c r="AR33" i="5" s="1"/>
  <c r="AE25" i="5"/>
  <c r="AI28" i="5"/>
  <c r="AE17" i="5"/>
  <c r="AU2" i="5"/>
  <c r="X9" i="5"/>
  <c r="V15" i="5"/>
  <c r="R20" i="5"/>
  <c r="AK33" i="5"/>
  <c r="AL33" i="5" s="1"/>
  <c r="R4" i="5"/>
  <c r="AB11" i="5"/>
  <c r="AC11" i="5" s="1"/>
  <c r="AI17" i="5"/>
  <c r="AR18" i="5"/>
  <c r="AB24" i="5"/>
  <c r="AC24" i="5" s="1"/>
  <c r="AB26" i="5"/>
  <c r="Z26" i="5" s="1"/>
  <c r="K33" i="5"/>
  <c r="AC10" i="5"/>
  <c r="Z10" i="5"/>
  <c r="AC20" i="5"/>
  <c r="Z20" i="5"/>
  <c r="AC17" i="5"/>
  <c r="Z17" i="5"/>
  <c r="AC6" i="5"/>
  <c r="Z6" i="5"/>
  <c r="U33" i="5"/>
  <c r="S9" i="5"/>
  <c r="S33" i="5" s="1"/>
  <c r="Q33" i="5" s="1"/>
  <c r="V9" i="5"/>
  <c r="AC25" i="5"/>
  <c r="Z25" i="5"/>
  <c r="AC14" i="5"/>
  <c r="Z14" i="5"/>
  <c r="AC7" i="5"/>
  <c r="Z7" i="5"/>
  <c r="AC9" i="5"/>
  <c r="Z9" i="5"/>
  <c r="AI2" i="5"/>
  <c r="AE6" i="5"/>
  <c r="AI8" i="5"/>
  <c r="AE9" i="5"/>
  <c r="AI11" i="5"/>
  <c r="R12" i="5"/>
  <c r="AR12" i="5"/>
  <c r="Z13" i="5"/>
  <c r="AL13" i="5"/>
  <c r="V14" i="5"/>
  <c r="AU14" i="5"/>
  <c r="R15" i="5"/>
  <c r="AR15" i="5"/>
  <c r="Z16" i="5"/>
  <c r="AL16" i="5"/>
  <c r="V17" i="5"/>
  <c r="AU17" i="5"/>
  <c r="AC18" i="5"/>
  <c r="X19" i="5"/>
  <c r="AE20" i="5"/>
  <c r="AB21" i="5"/>
  <c r="AI22" i="5"/>
  <c r="R23" i="5"/>
  <c r="AR23" i="5"/>
  <c r="AL24" i="5"/>
  <c r="V25" i="5"/>
  <c r="AU25" i="5"/>
  <c r="V27" i="5"/>
  <c r="AB28" i="5"/>
  <c r="AI29" i="5"/>
  <c r="R30" i="5"/>
  <c r="AR30" i="5"/>
  <c r="W33" i="5"/>
  <c r="X33" i="5" s="1"/>
  <c r="Z2" i="5"/>
  <c r="AR4" i="5"/>
  <c r="AI6" i="5"/>
  <c r="R7" i="5"/>
  <c r="AR7" i="5"/>
  <c r="Z8" i="5"/>
  <c r="AI9" i="5"/>
  <c r="R10" i="5"/>
  <c r="AR10" i="5"/>
  <c r="Z11" i="5"/>
  <c r="V12" i="5"/>
  <c r="X14" i="5"/>
  <c r="X17" i="5"/>
  <c r="R21" i="5"/>
  <c r="X25" i="5"/>
  <c r="X27" i="5"/>
  <c r="R28" i="5"/>
  <c r="AB22" i="5"/>
  <c r="AB29" i="5"/>
  <c r="AC2" i="5"/>
  <c r="V4" i="5"/>
  <c r="V7" i="5"/>
  <c r="V10" i="5"/>
  <c r="AI18" i="5"/>
  <c r="R19" i="5"/>
  <c r="AR19" i="5"/>
  <c r="V21" i="5"/>
  <c r="V28" i="5"/>
  <c r="AC31" i="5" l="1"/>
  <c r="Z31" i="5"/>
  <c r="O33" i="5"/>
  <c r="AD33" i="5"/>
  <c r="AE33" i="5" s="1"/>
  <c r="AE27" i="5"/>
  <c r="I33" i="5"/>
  <c r="Z27" i="5"/>
  <c r="Z19" i="5"/>
  <c r="Z4" i="5"/>
  <c r="AC26" i="5"/>
  <c r="V33" i="5"/>
  <c r="AU33" i="5"/>
  <c r="AI33" i="5"/>
  <c r="Z15" i="5"/>
  <c r="AC15" i="5"/>
  <c r="Z24" i="5"/>
  <c r="AC21" i="5"/>
  <c r="Z21" i="5"/>
  <c r="AB33" i="5"/>
  <c r="AC29" i="5"/>
  <c r="Z29" i="5"/>
  <c r="R33" i="5"/>
  <c r="AC22" i="5"/>
  <c r="Z22" i="5"/>
  <c r="AC28" i="5"/>
  <c r="Z28" i="5"/>
  <c r="T33" i="5"/>
  <c r="AC33" i="5" l="1"/>
  <c r="Z33" i="5"/>
  <c r="AA33" i="5"/>
  <c r="AS14" i="4" l="1"/>
  <c r="AQ14" i="4"/>
  <c r="AO14" i="4"/>
  <c r="AM14" i="4"/>
  <c r="AK14" i="4"/>
  <c r="AI14" i="4"/>
  <c r="AG14" i="4"/>
  <c r="AE14" i="4"/>
  <c r="AC14" i="4"/>
  <c r="AA14" i="4"/>
  <c r="Y14" i="4"/>
  <c r="W14" i="4"/>
  <c r="U14" i="4"/>
  <c r="S14" i="4"/>
  <c r="Q14" i="4"/>
  <c r="O14" i="4"/>
  <c r="M14" i="4"/>
  <c r="K14" i="4"/>
  <c r="I14" i="4"/>
  <c r="G14" i="4"/>
  <c r="F69" i="4"/>
  <c r="F64" i="4"/>
  <c r="F61" i="4"/>
  <c r="F57" i="4"/>
  <c r="F54" i="4"/>
  <c r="F49" i="4"/>
  <c r="G44" i="4"/>
  <c r="G43" i="4"/>
  <c r="G42" i="4"/>
  <c r="G41" i="4"/>
  <c r="G40" i="4"/>
  <c r="G39" i="4"/>
  <c r="F38" i="4"/>
  <c r="F37" i="4" s="1"/>
  <c r="G36" i="4"/>
  <c r="G35" i="4"/>
  <c r="G34" i="4"/>
  <c r="G33" i="4"/>
  <c r="G32" i="4"/>
  <c r="G31" i="4"/>
  <c r="F30" i="4"/>
  <c r="E30" i="4" s="1"/>
  <c r="G29" i="4"/>
  <c r="G28" i="4"/>
  <c r="G27" i="4"/>
  <c r="G26" i="4"/>
  <c r="G25" i="4"/>
  <c r="G24" i="4"/>
  <c r="G23" i="4"/>
  <c r="F22" i="4"/>
  <c r="G20" i="4"/>
  <c r="G19" i="4"/>
  <c r="G18" i="4"/>
  <c r="G17" i="4"/>
  <c r="G16" i="4"/>
  <c r="G15" i="4"/>
  <c r="G13" i="4"/>
  <c r="F12" i="4"/>
  <c r="G11" i="4"/>
  <c r="G10" i="4"/>
  <c r="G9" i="4"/>
  <c r="G8" i="4"/>
  <c r="G7" i="4"/>
  <c r="G6" i="4"/>
  <c r="G5" i="4"/>
  <c r="G4" i="4"/>
  <c r="F3" i="4"/>
  <c r="DI6" i="2"/>
  <c r="DP6" i="2" l="1"/>
  <c r="DJ6" i="2"/>
  <c r="F70" i="4"/>
  <c r="F62" i="4"/>
  <c r="F21" i="4"/>
  <c r="E21" i="4" s="1"/>
  <c r="F2" i="4"/>
  <c r="F55" i="4"/>
  <c r="F45" i="4"/>
  <c r="E45" i="4" s="1"/>
  <c r="DI30" i="2" l="1"/>
  <c r="DP30" i="2" s="1"/>
  <c r="DI27" i="2"/>
  <c r="DP27" i="2" s="1"/>
  <c r="DI24" i="2"/>
  <c r="DP24" i="2" s="1"/>
  <c r="DI21" i="2"/>
  <c r="DP21" i="2" s="1"/>
  <c r="DI36" i="2" l="1"/>
  <c r="DP36" i="2" s="1"/>
  <c r="DI35" i="2"/>
  <c r="DP35" i="2" s="1"/>
  <c r="DI34" i="2"/>
  <c r="DJ37" i="2" s="1"/>
  <c r="DL33" i="2"/>
  <c r="DL32" i="2"/>
  <c r="DK32" i="2"/>
  <c r="DL31" i="2"/>
  <c r="DK31" i="2"/>
  <c r="DK30" i="2"/>
  <c r="DL29" i="2"/>
  <c r="DK29" i="2"/>
  <c r="DL28" i="2"/>
  <c r="DK28" i="2"/>
  <c r="DK27" i="2"/>
  <c r="DL26" i="2"/>
  <c r="DK26" i="2"/>
  <c r="DL25" i="2"/>
  <c r="DK25" i="2"/>
  <c r="DK24" i="2"/>
  <c r="DL23" i="2"/>
  <c r="DK23" i="2"/>
  <c r="DL22" i="2"/>
  <c r="DK22" i="2"/>
  <c r="DK21" i="2"/>
  <c r="DL7" i="2"/>
  <c r="DK7" i="2"/>
  <c r="DL5" i="2"/>
  <c r="DK5" i="2"/>
  <c r="DL4" i="2"/>
  <c r="DK4" i="2"/>
  <c r="DJ30" i="2" l="1"/>
  <c r="DP34" i="2"/>
  <c r="DJ29" i="2"/>
  <c r="DJ22" i="2"/>
  <c r="DJ28" i="2"/>
  <c r="DJ31" i="2"/>
  <c r="DJ34" i="2"/>
  <c r="DJ26" i="2"/>
  <c r="DJ23" i="2"/>
  <c r="DJ33" i="2"/>
  <c r="DJ25" i="2"/>
  <c r="DJ32" i="2"/>
  <c r="DJ27" i="2"/>
  <c r="DJ35" i="2"/>
  <c r="DJ21" i="2"/>
  <c r="DJ36" i="2"/>
  <c r="DJ24" i="2"/>
  <c r="DI8" i="2"/>
  <c r="DP8" i="2" l="1"/>
  <c r="DJ8" i="2"/>
  <c r="DI17" i="2"/>
  <c r="DP17" i="2" l="1"/>
  <c r="DJ17" i="2"/>
  <c r="DK15" i="2"/>
  <c r="DL15" i="2"/>
  <c r="H69" i="4"/>
  <c r="H64" i="4"/>
  <c r="H61" i="4"/>
  <c r="H57" i="4"/>
  <c r="H54" i="4"/>
  <c r="H49" i="4"/>
  <c r="G49" i="4" s="1"/>
  <c r="I44" i="4"/>
  <c r="I43" i="4"/>
  <c r="I42" i="4"/>
  <c r="I41" i="4"/>
  <c r="I40" i="4"/>
  <c r="I39" i="4"/>
  <c r="H38" i="4"/>
  <c r="I36" i="4"/>
  <c r="I35" i="4"/>
  <c r="I34" i="4"/>
  <c r="I33" i="4"/>
  <c r="I32" i="4"/>
  <c r="I31" i="4"/>
  <c r="H30" i="4"/>
  <c r="G30" i="4" s="1"/>
  <c r="I29" i="4"/>
  <c r="I28" i="4"/>
  <c r="I27" i="4"/>
  <c r="I26" i="4"/>
  <c r="I25" i="4"/>
  <c r="I24" i="4"/>
  <c r="I23" i="4"/>
  <c r="H22" i="4"/>
  <c r="G22" i="4" s="1"/>
  <c r="I20" i="4"/>
  <c r="I19" i="4"/>
  <c r="I18" i="4"/>
  <c r="I17" i="4"/>
  <c r="I16" i="4"/>
  <c r="I15" i="4"/>
  <c r="I13" i="4"/>
  <c r="H12" i="4"/>
  <c r="G12" i="4" s="1"/>
  <c r="I11" i="4"/>
  <c r="I10" i="4"/>
  <c r="I9" i="4"/>
  <c r="I8" i="4"/>
  <c r="I7" i="4"/>
  <c r="I6" i="4"/>
  <c r="I5" i="4"/>
  <c r="I4" i="4"/>
  <c r="H3" i="4"/>
  <c r="G3" i="4" s="1"/>
  <c r="K16" i="4"/>
  <c r="H37" i="4" l="1"/>
  <c r="G37" i="4" s="1"/>
  <c r="G38" i="4"/>
  <c r="H70" i="4"/>
  <c r="H62" i="4"/>
  <c r="H21" i="4"/>
  <c r="H2" i="4"/>
  <c r="G2" i="4" s="1"/>
  <c r="H55" i="4"/>
  <c r="H45" i="4" l="1"/>
  <c r="G45" i="4" s="1"/>
  <c r="G21" i="4"/>
  <c r="DG33" i="2"/>
  <c r="DH33" i="2"/>
  <c r="DE36" i="2"/>
  <c r="DE35" i="2"/>
  <c r="DH32" i="2"/>
  <c r="DG32" i="2"/>
  <c r="DH31" i="2"/>
  <c r="DG31" i="2"/>
  <c r="DE30" i="2"/>
  <c r="DH29" i="2"/>
  <c r="DG29" i="2"/>
  <c r="DH28" i="2"/>
  <c r="DG28" i="2"/>
  <c r="DE27" i="2"/>
  <c r="DH26" i="2"/>
  <c r="DG26" i="2"/>
  <c r="DH25" i="2"/>
  <c r="DG25" i="2"/>
  <c r="DE24" i="2"/>
  <c r="DH23" i="2"/>
  <c r="DG23" i="2"/>
  <c r="DH22" i="2"/>
  <c r="DG22" i="2"/>
  <c r="DE21" i="2"/>
  <c r="DH15" i="2"/>
  <c r="DG15" i="2"/>
  <c r="DE8" i="2"/>
  <c r="DF8" i="2" s="1"/>
  <c r="DH7" i="2"/>
  <c r="DG7" i="2"/>
  <c r="DE6" i="2"/>
  <c r="DF6" i="2" s="1"/>
  <c r="DH5" i="2"/>
  <c r="DG5" i="2"/>
  <c r="DH4" i="2"/>
  <c r="DG4" i="2"/>
  <c r="DL35" i="2" l="1"/>
  <c r="DL24" i="2"/>
  <c r="DL27" i="2"/>
  <c r="DL30" i="2"/>
  <c r="DL8" i="2"/>
  <c r="DL36" i="2"/>
  <c r="DL21" i="2"/>
  <c r="DL6" i="2"/>
  <c r="DE17" i="2"/>
  <c r="DF17" i="2" s="1"/>
  <c r="DE34" i="2"/>
  <c r="AS44" i="4"/>
  <c r="AS43" i="4"/>
  <c r="AS42" i="4"/>
  <c r="AS41" i="4"/>
  <c r="AS40" i="4"/>
  <c r="AS39" i="4"/>
  <c r="AS38" i="4"/>
  <c r="AS36" i="4"/>
  <c r="AS35" i="4"/>
  <c r="AS34" i="4"/>
  <c r="AS33" i="4"/>
  <c r="AS32" i="4"/>
  <c r="AS31" i="4"/>
  <c r="AS30" i="4"/>
  <c r="AS29" i="4"/>
  <c r="AS28" i="4"/>
  <c r="AS27" i="4"/>
  <c r="AS26" i="4"/>
  <c r="AS25" i="4"/>
  <c r="AS24" i="4"/>
  <c r="AS23" i="4"/>
  <c r="AS22" i="4"/>
  <c r="AS20" i="4"/>
  <c r="AS19" i="4"/>
  <c r="AS18" i="4"/>
  <c r="AS17" i="4"/>
  <c r="AS16" i="4"/>
  <c r="AS15" i="4"/>
  <c r="AS13" i="4"/>
  <c r="AS12" i="4"/>
  <c r="AS11" i="4"/>
  <c r="AS10" i="4"/>
  <c r="AS9" i="4"/>
  <c r="AS8" i="4"/>
  <c r="AS7" i="4"/>
  <c r="AS6" i="4"/>
  <c r="AS5" i="4"/>
  <c r="AS4" i="4"/>
  <c r="AS3" i="4"/>
  <c r="AQ44" i="4"/>
  <c r="AQ43" i="4"/>
  <c r="AQ42" i="4"/>
  <c r="AQ41" i="4"/>
  <c r="AQ40" i="4"/>
  <c r="AQ39" i="4"/>
  <c r="AQ38" i="4"/>
  <c r="AQ36" i="4"/>
  <c r="AQ35" i="4"/>
  <c r="AQ34" i="4"/>
  <c r="AQ33" i="4"/>
  <c r="AQ32" i="4"/>
  <c r="AQ31" i="4"/>
  <c r="AQ30" i="4"/>
  <c r="AQ29" i="4"/>
  <c r="AQ28" i="4"/>
  <c r="AQ27" i="4"/>
  <c r="AQ26" i="4"/>
  <c r="AQ25" i="4"/>
  <c r="AQ24" i="4"/>
  <c r="AQ23" i="4"/>
  <c r="AQ22" i="4"/>
  <c r="AQ20" i="4"/>
  <c r="AQ19" i="4"/>
  <c r="AQ18" i="4"/>
  <c r="AQ17" i="4"/>
  <c r="AQ16" i="4"/>
  <c r="AQ15" i="4"/>
  <c r="AQ13" i="4"/>
  <c r="AQ12" i="4"/>
  <c r="AQ11" i="4"/>
  <c r="AQ10" i="4"/>
  <c r="AQ9" i="4"/>
  <c r="AQ8" i="4"/>
  <c r="AQ7" i="4"/>
  <c r="AQ6" i="4"/>
  <c r="AQ5" i="4"/>
  <c r="AQ4" i="4"/>
  <c r="AQ3" i="4"/>
  <c r="AO44" i="4"/>
  <c r="AO43" i="4"/>
  <c r="AO42" i="4"/>
  <c r="AO41" i="4"/>
  <c r="AO40" i="4"/>
  <c r="AO39" i="4"/>
  <c r="AO38" i="4"/>
  <c r="AO36" i="4"/>
  <c r="AO35" i="4"/>
  <c r="AO34" i="4"/>
  <c r="AO33" i="4"/>
  <c r="AO32" i="4"/>
  <c r="AO31" i="4"/>
  <c r="AO30" i="4"/>
  <c r="AO29" i="4"/>
  <c r="AO28" i="4"/>
  <c r="AO27" i="4"/>
  <c r="AO26" i="4"/>
  <c r="AO25" i="4"/>
  <c r="AO24" i="4"/>
  <c r="AO23" i="4"/>
  <c r="AO22" i="4"/>
  <c r="AO20" i="4"/>
  <c r="AO19" i="4"/>
  <c r="AO18" i="4"/>
  <c r="AO17" i="4"/>
  <c r="AO16" i="4"/>
  <c r="AO15" i="4"/>
  <c r="AO13" i="4"/>
  <c r="AO12" i="4"/>
  <c r="AO11" i="4"/>
  <c r="AO10" i="4"/>
  <c r="AO9" i="4"/>
  <c r="AO8" i="4"/>
  <c r="AO7" i="4"/>
  <c r="AO6" i="4"/>
  <c r="AO5" i="4"/>
  <c r="AO4" i="4"/>
  <c r="AO3" i="4"/>
  <c r="AM44" i="4"/>
  <c r="AM43" i="4"/>
  <c r="AM42" i="4"/>
  <c r="AM41" i="4"/>
  <c r="AM40" i="4"/>
  <c r="AM39" i="4"/>
  <c r="AM38" i="4"/>
  <c r="AM36" i="4"/>
  <c r="AM35" i="4"/>
  <c r="AM34" i="4"/>
  <c r="AM33" i="4"/>
  <c r="AM32" i="4"/>
  <c r="AM31" i="4"/>
  <c r="AM30" i="4"/>
  <c r="AM29" i="4"/>
  <c r="AM28" i="4"/>
  <c r="AM27" i="4"/>
  <c r="AM26" i="4"/>
  <c r="AM25" i="4"/>
  <c r="AM24" i="4"/>
  <c r="AM23" i="4"/>
  <c r="AM22" i="4"/>
  <c r="AM20" i="4"/>
  <c r="AM19" i="4"/>
  <c r="AM18" i="4"/>
  <c r="AM17" i="4"/>
  <c r="AM16" i="4"/>
  <c r="AM15" i="4"/>
  <c r="AM13" i="4"/>
  <c r="AM12" i="4"/>
  <c r="AM11" i="4"/>
  <c r="AM10" i="4"/>
  <c r="AM9" i="4"/>
  <c r="AM8" i="4"/>
  <c r="AM7" i="4"/>
  <c r="AM6" i="4"/>
  <c r="AM5" i="4"/>
  <c r="AM4" i="4"/>
  <c r="AM3" i="4"/>
  <c r="AK44" i="4"/>
  <c r="AK43" i="4"/>
  <c r="AK42" i="4"/>
  <c r="AK41" i="4"/>
  <c r="AK40" i="4"/>
  <c r="AK39" i="4"/>
  <c r="AK36" i="4"/>
  <c r="AK35" i="4"/>
  <c r="AK34" i="4"/>
  <c r="AK33" i="4"/>
  <c r="AK32" i="4"/>
  <c r="AK31" i="4"/>
  <c r="AK29" i="4"/>
  <c r="AK28" i="4"/>
  <c r="AK27" i="4"/>
  <c r="AK26" i="4"/>
  <c r="AK25" i="4"/>
  <c r="AK24" i="4"/>
  <c r="AK23" i="4"/>
  <c r="AK20" i="4"/>
  <c r="AK19" i="4"/>
  <c r="AK18" i="4"/>
  <c r="AK17" i="4"/>
  <c r="AK16" i="4"/>
  <c r="AK15" i="4"/>
  <c r="AK13" i="4"/>
  <c r="AK11" i="4"/>
  <c r="AK10" i="4"/>
  <c r="AK9" i="4"/>
  <c r="AK8" i="4"/>
  <c r="AK7" i="4"/>
  <c r="AK6" i="4"/>
  <c r="AK5" i="4"/>
  <c r="AK4" i="4"/>
  <c r="AI44" i="4"/>
  <c r="AI43" i="4"/>
  <c r="AI42" i="4"/>
  <c r="AI41" i="4"/>
  <c r="AI40" i="4"/>
  <c r="AI39" i="4"/>
  <c r="AI36" i="4"/>
  <c r="AI35" i="4"/>
  <c r="AI34" i="4"/>
  <c r="AI33" i="4"/>
  <c r="AI32" i="4"/>
  <c r="AI31" i="4"/>
  <c r="AI29" i="4"/>
  <c r="AI28" i="4"/>
  <c r="AI27" i="4"/>
  <c r="AI26" i="4"/>
  <c r="AI25" i="4"/>
  <c r="AI24" i="4"/>
  <c r="AI23" i="4"/>
  <c r="AI20" i="4"/>
  <c r="AI19" i="4"/>
  <c r="AI18" i="4"/>
  <c r="AI17" i="4"/>
  <c r="AI16" i="4"/>
  <c r="AI15" i="4"/>
  <c r="AI13" i="4"/>
  <c r="AI11" i="4"/>
  <c r="AI10" i="4"/>
  <c r="AI9" i="4"/>
  <c r="AI8" i="4"/>
  <c r="AI7" i="4"/>
  <c r="AI6" i="4"/>
  <c r="AI5" i="4"/>
  <c r="AI4" i="4"/>
  <c r="AH38" i="4"/>
  <c r="AH37" i="4" s="1"/>
  <c r="AH30" i="4"/>
  <c r="AH22" i="4"/>
  <c r="AH12" i="4"/>
  <c r="AH3" i="4"/>
  <c r="AE44" i="4"/>
  <c r="AE43" i="4"/>
  <c r="AE42" i="4"/>
  <c r="AE41" i="4"/>
  <c r="AE40" i="4"/>
  <c r="AE39" i="4"/>
  <c r="AE38" i="4"/>
  <c r="AE36" i="4"/>
  <c r="AE35" i="4"/>
  <c r="AE34" i="4"/>
  <c r="AE33" i="4"/>
  <c r="AE32" i="4"/>
  <c r="AE31" i="4"/>
  <c r="AE30" i="4"/>
  <c r="AE29" i="4"/>
  <c r="AE28" i="4"/>
  <c r="AE27" i="4"/>
  <c r="AE26" i="4"/>
  <c r="AE25" i="4"/>
  <c r="AE24" i="4"/>
  <c r="AE23" i="4"/>
  <c r="AE22" i="4"/>
  <c r="AE20" i="4"/>
  <c r="AE19" i="4"/>
  <c r="AE18" i="4"/>
  <c r="AE17" i="4"/>
  <c r="AE16" i="4"/>
  <c r="AE15" i="4"/>
  <c r="AE13" i="4"/>
  <c r="AE12" i="4"/>
  <c r="AE11" i="4"/>
  <c r="AE10" i="4"/>
  <c r="AE9" i="4"/>
  <c r="AE8" i="4"/>
  <c r="AE7" i="4"/>
  <c r="AE6" i="4"/>
  <c r="AE5" i="4"/>
  <c r="AE4" i="4"/>
  <c r="AE3" i="4"/>
  <c r="AC44" i="4"/>
  <c r="AC43" i="4"/>
  <c r="AC42" i="4"/>
  <c r="AC41" i="4"/>
  <c r="AC40" i="4"/>
  <c r="AC39" i="4"/>
  <c r="AC36" i="4"/>
  <c r="AC35" i="4"/>
  <c r="AC34" i="4"/>
  <c r="AC33" i="4"/>
  <c r="AC32" i="4"/>
  <c r="AC31" i="4"/>
  <c r="AC29" i="4"/>
  <c r="AC28" i="4"/>
  <c r="AC27" i="4"/>
  <c r="AC26" i="4"/>
  <c r="AC25" i="4"/>
  <c r="AC24" i="4"/>
  <c r="AC23" i="4"/>
  <c r="AC20" i="4"/>
  <c r="AC19" i="4"/>
  <c r="AC18" i="4"/>
  <c r="AC17" i="4"/>
  <c r="AC16" i="4"/>
  <c r="AC15" i="4"/>
  <c r="AC13" i="4"/>
  <c r="AC11" i="4"/>
  <c r="AC10" i="4"/>
  <c r="AC9" i="4"/>
  <c r="AC8" i="4"/>
  <c r="AC7" i="4"/>
  <c r="AC6" i="4"/>
  <c r="AC5" i="4"/>
  <c r="AC4" i="4"/>
  <c r="AA44" i="4"/>
  <c r="AA43" i="4"/>
  <c r="AA42" i="4"/>
  <c r="AA41" i="4"/>
  <c r="AA40" i="4"/>
  <c r="AA39" i="4"/>
  <c r="AA36" i="4"/>
  <c r="AA35" i="4"/>
  <c r="AA34" i="4"/>
  <c r="AA33" i="4"/>
  <c r="AA32" i="4"/>
  <c r="AA31" i="4"/>
  <c r="AA29" i="4"/>
  <c r="AA28" i="4"/>
  <c r="AA27" i="4"/>
  <c r="AA26" i="4"/>
  <c r="AA25" i="4"/>
  <c r="AA24" i="4"/>
  <c r="AA23" i="4"/>
  <c r="AA20" i="4"/>
  <c r="AA19" i="4"/>
  <c r="AA18" i="4"/>
  <c r="AA17" i="4"/>
  <c r="AA16" i="4"/>
  <c r="AA15" i="4"/>
  <c r="AA13" i="4"/>
  <c r="AA11" i="4"/>
  <c r="AA10" i="4"/>
  <c r="AA9" i="4"/>
  <c r="AA8" i="4"/>
  <c r="AA7" i="4"/>
  <c r="AA6" i="4"/>
  <c r="AA5" i="4"/>
  <c r="AA4" i="4"/>
  <c r="Y44" i="4"/>
  <c r="Y43" i="4"/>
  <c r="Y42" i="4"/>
  <c r="Y41" i="4"/>
  <c r="Y40" i="4"/>
  <c r="Y39" i="4"/>
  <c r="Y36" i="4"/>
  <c r="Y35" i="4"/>
  <c r="Y34" i="4"/>
  <c r="Y33" i="4"/>
  <c r="Y32" i="4"/>
  <c r="Y31" i="4"/>
  <c r="Y29" i="4"/>
  <c r="Y28" i="4"/>
  <c r="Y27" i="4"/>
  <c r="Y26" i="4"/>
  <c r="Y25" i="4"/>
  <c r="Y24" i="4"/>
  <c r="Y23" i="4"/>
  <c r="Y20" i="4"/>
  <c r="Y19" i="4"/>
  <c r="Y18" i="4"/>
  <c r="Y17" i="4"/>
  <c r="Y16" i="4"/>
  <c r="Y15" i="4"/>
  <c r="Y13" i="4"/>
  <c r="Y11" i="4"/>
  <c r="Y10" i="4"/>
  <c r="Y9" i="4"/>
  <c r="Y8" i="4"/>
  <c r="Y7" i="4"/>
  <c r="Y6" i="4"/>
  <c r="Y5" i="4"/>
  <c r="Y4" i="4"/>
  <c r="W44" i="4"/>
  <c r="W43" i="4"/>
  <c r="W42" i="4"/>
  <c r="W41" i="4"/>
  <c r="W40" i="4"/>
  <c r="W39" i="4"/>
  <c r="W36" i="4"/>
  <c r="W35" i="4"/>
  <c r="W34" i="4"/>
  <c r="W33" i="4"/>
  <c r="W32" i="4"/>
  <c r="W31" i="4"/>
  <c r="W29" i="4"/>
  <c r="W28" i="4"/>
  <c r="W27" i="4"/>
  <c r="W26" i="4"/>
  <c r="W25" i="4"/>
  <c r="W24" i="4"/>
  <c r="W23" i="4"/>
  <c r="W20" i="4"/>
  <c r="W19" i="4"/>
  <c r="W18" i="4"/>
  <c r="W17" i="4"/>
  <c r="W16" i="4"/>
  <c r="W15" i="4"/>
  <c r="W13" i="4"/>
  <c r="W11" i="4"/>
  <c r="W10" i="4"/>
  <c r="W9" i="4"/>
  <c r="W8" i="4"/>
  <c r="W7" i="4"/>
  <c r="W6" i="4"/>
  <c r="W5" i="4"/>
  <c r="W4" i="4"/>
  <c r="U44" i="4"/>
  <c r="U43" i="4"/>
  <c r="U42" i="4"/>
  <c r="U41" i="4"/>
  <c r="U40" i="4"/>
  <c r="U39" i="4"/>
  <c r="U36" i="4"/>
  <c r="U35" i="4"/>
  <c r="U34" i="4"/>
  <c r="U33" i="4"/>
  <c r="U32" i="4"/>
  <c r="U31" i="4"/>
  <c r="U29" i="4"/>
  <c r="U28" i="4"/>
  <c r="U27" i="4"/>
  <c r="U26" i="4"/>
  <c r="U25" i="4"/>
  <c r="U24" i="4"/>
  <c r="U23" i="4"/>
  <c r="U20" i="4"/>
  <c r="U19" i="4"/>
  <c r="U18" i="4"/>
  <c r="U17" i="4"/>
  <c r="U16" i="4"/>
  <c r="U15" i="4"/>
  <c r="U13" i="4"/>
  <c r="U11" i="4"/>
  <c r="U10" i="4"/>
  <c r="U9" i="4"/>
  <c r="U8" i="4"/>
  <c r="U7" i="4"/>
  <c r="U6" i="4"/>
  <c r="U5" i="4"/>
  <c r="U4" i="4"/>
  <c r="S44" i="4"/>
  <c r="S43" i="4"/>
  <c r="S42" i="4"/>
  <c r="S41" i="4"/>
  <c r="S40" i="4"/>
  <c r="S39" i="4"/>
  <c r="S36" i="4"/>
  <c r="S35" i="4"/>
  <c r="S34" i="4"/>
  <c r="S33" i="4"/>
  <c r="S32" i="4"/>
  <c r="S31" i="4"/>
  <c r="S29" i="4"/>
  <c r="S28" i="4"/>
  <c r="S27" i="4"/>
  <c r="S26" i="4"/>
  <c r="S25" i="4"/>
  <c r="S24" i="4"/>
  <c r="S23" i="4"/>
  <c r="S20" i="4"/>
  <c r="S19" i="4"/>
  <c r="S18" i="4"/>
  <c r="S17" i="4"/>
  <c r="S16" i="4"/>
  <c r="S15" i="4"/>
  <c r="S13" i="4"/>
  <c r="S11" i="4"/>
  <c r="S10" i="4"/>
  <c r="S9" i="4"/>
  <c r="S8" i="4"/>
  <c r="S7" i="4"/>
  <c r="S6" i="4"/>
  <c r="S5" i="4"/>
  <c r="S4" i="4"/>
  <c r="Q44" i="4"/>
  <c r="Q43" i="4"/>
  <c r="Q42" i="4"/>
  <c r="Q41" i="4"/>
  <c r="Q40" i="4"/>
  <c r="Q39" i="4"/>
  <c r="Q36" i="4"/>
  <c r="Q35" i="4"/>
  <c r="Q34" i="4"/>
  <c r="Q33" i="4"/>
  <c r="Q32" i="4"/>
  <c r="Q31" i="4"/>
  <c r="Q29" i="4"/>
  <c r="Q28" i="4"/>
  <c r="Q27" i="4"/>
  <c r="Q26" i="4"/>
  <c r="Q25" i="4"/>
  <c r="Q24" i="4"/>
  <c r="Q23" i="4"/>
  <c r="Q20" i="4"/>
  <c r="Q19" i="4"/>
  <c r="Q18" i="4"/>
  <c r="Q17" i="4"/>
  <c r="Q16" i="4"/>
  <c r="Q15" i="4"/>
  <c r="Q13" i="4"/>
  <c r="Q11" i="4"/>
  <c r="Q10" i="4"/>
  <c r="Q9" i="4"/>
  <c r="Q8" i="4"/>
  <c r="Q7" i="4"/>
  <c r="Q6" i="4"/>
  <c r="Q5" i="4"/>
  <c r="Q4" i="4"/>
  <c r="O44" i="4"/>
  <c r="O43" i="4"/>
  <c r="O42" i="4"/>
  <c r="O41" i="4"/>
  <c r="O40" i="4"/>
  <c r="O39" i="4"/>
  <c r="O36" i="4"/>
  <c r="O35" i="4"/>
  <c r="O34" i="4"/>
  <c r="O33" i="4"/>
  <c r="O32" i="4"/>
  <c r="O31" i="4"/>
  <c r="O29" i="4"/>
  <c r="O28" i="4"/>
  <c r="O27" i="4"/>
  <c r="O26" i="4"/>
  <c r="O25" i="4"/>
  <c r="O24" i="4"/>
  <c r="O23" i="4"/>
  <c r="O20" i="4"/>
  <c r="O19" i="4"/>
  <c r="O18" i="4"/>
  <c r="O17" i="4"/>
  <c r="O16" i="4"/>
  <c r="O15" i="4"/>
  <c r="O13" i="4"/>
  <c r="O11" i="4"/>
  <c r="O10" i="4"/>
  <c r="O9" i="4"/>
  <c r="O8" i="4"/>
  <c r="O7" i="4"/>
  <c r="O6" i="4"/>
  <c r="O5" i="4"/>
  <c r="O4" i="4"/>
  <c r="M44" i="4"/>
  <c r="M43" i="4"/>
  <c r="M42" i="4"/>
  <c r="M41" i="4"/>
  <c r="M40" i="4"/>
  <c r="M39" i="4"/>
  <c r="M36" i="4"/>
  <c r="M35" i="4"/>
  <c r="M34" i="4"/>
  <c r="M33" i="4"/>
  <c r="M32" i="4"/>
  <c r="M31" i="4"/>
  <c r="M29" i="4"/>
  <c r="M28" i="4"/>
  <c r="M27" i="4"/>
  <c r="M26" i="4"/>
  <c r="M25" i="4"/>
  <c r="M24" i="4"/>
  <c r="M23" i="4"/>
  <c r="M20" i="4"/>
  <c r="M19" i="4"/>
  <c r="M18" i="4"/>
  <c r="M17" i="4"/>
  <c r="M16" i="4"/>
  <c r="M15" i="4"/>
  <c r="M13" i="4"/>
  <c r="M11" i="4"/>
  <c r="M10" i="4"/>
  <c r="M9" i="4"/>
  <c r="M8" i="4"/>
  <c r="M7" i="4"/>
  <c r="M6" i="4"/>
  <c r="M5" i="4"/>
  <c r="M4" i="4"/>
  <c r="K44" i="4"/>
  <c r="K43" i="4"/>
  <c r="K42" i="4"/>
  <c r="K41" i="4"/>
  <c r="K40" i="4"/>
  <c r="K39" i="4"/>
  <c r="K36" i="4"/>
  <c r="K35" i="4"/>
  <c r="K34" i="4"/>
  <c r="K33" i="4"/>
  <c r="K32" i="4"/>
  <c r="K31" i="4"/>
  <c r="K29" i="4"/>
  <c r="K28" i="4"/>
  <c r="K27" i="4"/>
  <c r="K26" i="4"/>
  <c r="K25" i="4"/>
  <c r="K24" i="4"/>
  <c r="K23" i="4"/>
  <c r="K20" i="4"/>
  <c r="K19" i="4"/>
  <c r="K18" i="4"/>
  <c r="K17" i="4"/>
  <c r="K15" i="4"/>
  <c r="K13" i="4"/>
  <c r="K11" i="4"/>
  <c r="K10" i="4"/>
  <c r="K9" i="4"/>
  <c r="K8" i="4"/>
  <c r="K7" i="4"/>
  <c r="K6" i="4"/>
  <c r="K5" i="4"/>
  <c r="K4" i="4"/>
  <c r="DF24" i="2" l="1"/>
  <c r="DF37" i="2"/>
  <c r="DL17" i="2"/>
  <c r="DF30" i="2"/>
  <c r="DF21" i="2"/>
  <c r="DL34" i="2"/>
  <c r="DF32" i="2"/>
  <c r="DF31" i="2"/>
  <c r="DF23" i="2"/>
  <c r="DF22" i="2"/>
  <c r="DF29" i="2"/>
  <c r="DF28" i="2"/>
  <c r="DF34" i="2"/>
  <c r="DF26" i="2"/>
  <c r="DF33" i="2"/>
  <c r="DF25" i="2"/>
  <c r="DF36" i="2"/>
  <c r="DF35" i="2"/>
  <c r="DF27" i="2"/>
  <c r="AH2" i="4"/>
  <c r="AH21" i="4"/>
  <c r="AH45" i="4" s="1"/>
  <c r="CX30" i="2"/>
  <c r="DH30" i="2" s="1"/>
  <c r="CX27" i="2"/>
  <c r="DH27" i="2" s="1"/>
  <c r="CX24" i="2"/>
  <c r="DH24" i="2" s="1"/>
  <c r="CX21" i="2"/>
  <c r="DH21" i="2" s="1"/>
  <c r="CX36" i="2"/>
  <c r="DH36" i="2" s="1"/>
  <c r="CX35" i="2"/>
  <c r="DH35" i="2" l="1"/>
  <c r="CX34" i="2"/>
  <c r="DH34" i="2" l="1"/>
  <c r="CY37" i="2"/>
  <c r="J22" i="4"/>
  <c r="I22" i="4" s="1"/>
  <c r="J69" i="4" l="1"/>
  <c r="J61" i="4"/>
  <c r="J54" i="4"/>
  <c r="J49" i="4"/>
  <c r="I49" i="4" s="1"/>
  <c r="J64" i="4"/>
  <c r="J57" i="4"/>
  <c r="J38" i="4"/>
  <c r="I38" i="4" s="1"/>
  <c r="J30" i="4"/>
  <c r="I30" i="4" s="1"/>
  <c r="J12" i="4"/>
  <c r="I12" i="4" s="1"/>
  <c r="J3" i="4"/>
  <c r="I3" i="4" s="1"/>
  <c r="J21" i="4" l="1"/>
  <c r="I21" i="4" s="1"/>
  <c r="J37" i="4"/>
  <c r="I37" i="4" s="1"/>
  <c r="J70" i="4"/>
  <c r="J62" i="4"/>
  <c r="J55" i="4"/>
  <c r="J45" i="4"/>
  <c r="I45" i="4" s="1"/>
  <c r="J2" i="4"/>
  <c r="I2" i="4" s="1"/>
  <c r="DB37" i="2"/>
  <c r="DB33" i="2"/>
  <c r="DD15" i="2"/>
  <c r="DB32" i="2"/>
  <c r="DB31" i="2"/>
  <c r="DB28" i="2"/>
  <c r="DB26" i="2"/>
  <c r="DB25" i="2"/>
  <c r="DB23" i="2"/>
  <c r="DB22" i="2"/>
  <c r="DB7" i="2"/>
  <c r="DB5" i="2"/>
  <c r="DB4" i="2"/>
  <c r="DC5" i="2" l="1"/>
  <c r="DC7" i="2"/>
  <c r="DD37" i="2"/>
  <c r="DC13" i="2"/>
  <c r="DC4" i="2"/>
  <c r="DC16" i="2"/>
  <c r="DC15" i="2"/>
  <c r="DB24" i="2"/>
  <c r="DB27" i="2"/>
  <c r="DB30" i="2"/>
  <c r="DB21" i="2"/>
  <c r="DB36" i="2"/>
  <c r="DB35" i="2"/>
  <c r="P4" i="2"/>
  <c r="P5" i="2"/>
  <c r="P6" i="2"/>
  <c r="P7" i="2"/>
  <c r="P8" i="2"/>
  <c r="P15" i="2"/>
  <c r="P21" i="2"/>
  <c r="P22" i="2"/>
  <c r="P23" i="2"/>
  <c r="P24" i="2"/>
  <c r="P25" i="2"/>
  <c r="P26" i="2"/>
  <c r="P27" i="2"/>
  <c r="P28" i="2"/>
  <c r="P29" i="2"/>
  <c r="P31" i="2"/>
  <c r="P32" i="2"/>
  <c r="P34" i="2"/>
  <c r="P36" i="2"/>
  <c r="DB34" i="2" l="1"/>
  <c r="DC37" i="2" s="1"/>
  <c r="CX6" i="2"/>
  <c r="DA33" i="2"/>
  <c r="DA32" i="2"/>
  <c r="CZ32" i="2"/>
  <c r="DA31" i="2"/>
  <c r="CZ31" i="2"/>
  <c r="DA29" i="2"/>
  <c r="CZ29" i="2"/>
  <c r="DA28" i="2"/>
  <c r="CZ28" i="2"/>
  <c r="CZ27" i="2"/>
  <c r="DA26" i="2"/>
  <c r="CZ26" i="2"/>
  <c r="DA25" i="2"/>
  <c r="CZ25" i="2"/>
  <c r="DA23" i="2"/>
  <c r="CZ23" i="2"/>
  <c r="DA22" i="2"/>
  <c r="CZ22" i="2"/>
  <c r="DA15" i="2"/>
  <c r="DA7" i="2"/>
  <c r="DA5" i="2"/>
  <c r="DA4" i="2"/>
  <c r="DH6" i="2" l="1"/>
  <c r="CY6" i="2"/>
  <c r="DC27" i="2"/>
  <c r="DC35" i="2"/>
  <c r="DC29" i="2"/>
  <c r="DC24" i="2"/>
  <c r="DC28" i="2"/>
  <c r="DC36" i="2"/>
  <c r="DC25" i="2"/>
  <c r="DC23" i="2"/>
  <c r="DC33" i="2"/>
  <c r="DC26" i="2"/>
  <c r="DC31" i="2"/>
  <c r="DC21" i="2"/>
  <c r="DC32" i="2"/>
  <c r="DC34" i="2"/>
  <c r="DC22" i="2"/>
  <c r="DC30" i="2"/>
  <c r="CZ30" i="2"/>
  <c r="CX8" i="2"/>
  <c r="CZ21" i="2"/>
  <c r="CY36" i="2"/>
  <c r="CZ24" i="2"/>
  <c r="DH8" i="2" l="1"/>
  <c r="CY8" i="2"/>
  <c r="CY21" i="2"/>
  <c r="CY25" i="2"/>
  <c r="CY32" i="2"/>
  <c r="CY22" i="2"/>
  <c r="CY34" i="2"/>
  <c r="CY29" i="2"/>
  <c r="CY31" i="2"/>
  <c r="CY26" i="2"/>
  <c r="CY28" i="2"/>
  <c r="CY23" i="2"/>
  <c r="CZ34" i="2"/>
  <c r="CY33" i="2"/>
  <c r="CY35" i="2"/>
  <c r="CY30" i="2"/>
  <c r="CY24" i="2"/>
  <c r="CY27" i="2"/>
  <c r="CP36" i="2" l="1"/>
  <c r="DK36" i="2" s="1"/>
  <c r="CL36" i="2"/>
  <c r="CT36" i="2"/>
  <c r="DO36" i="2" s="1"/>
  <c r="DA36" i="2" l="1"/>
  <c r="DG36" i="2"/>
  <c r="L69" i="4"/>
  <c r="L54" i="4"/>
  <c r="L3" i="4"/>
  <c r="L64" i="4"/>
  <c r="L61" i="4"/>
  <c r="L57" i="4"/>
  <c r="L49" i="4"/>
  <c r="K49" i="4" s="1"/>
  <c r="L38" i="4"/>
  <c r="L30" i="4"/>
  <c r="L22" i="4"/>
  <c r="L12" i="4"/>
  <c r="CT6" i="2"/>
  <c r="CT21" i="2"/>
  <c r="DO21" i="2" s="1"/>
  <c r="DO6" i="2" l="1"/>
  <c r="CU6" i="2"/>
  <c r="DA21" i="2"/>
  <c r="K12" i="4"/>
  <c r="K22" i="4"/>
  <c r="K3" i="4"/>
  <c r="K30" i="4"/>
  <c r="L37" i="4"/>
  <c r="K38" i="4"/>
  <c r="DA6" i="2"/>
  <c r="L70" i="4"/>
  <c r="L62" i="4"/>
  <c r="L21" i="4"/>
  <c r="L2" i="4"/>
  <c r="L55" i="4"/>
  <c r="K21" i="4" l="1"/>
  <c r="K2" i="4"/>
  <c r="K37" i="4"/>
  <c r="L45" i="4"/>
  <c r="CT30" i="2"/>
  <c r="DO30" i="2" s="1"/>
  <c r="CT27" i="2"/>
  <c r="DO27" i="2" s="1"/>
  <c r="CT24" i="2"/>
  <c r="DO24" i="2" s="1"/>
  <c r="CT35" i="2"/>
  <c r="DO35" i="2" s="1"/>
  <c r="CW33" i="2"/>
  <c r="CW32" i="2"/>
  <c r="CW31" i="2"/>
  <c r="CW29" i="2"/>
  <c r="CW28" i="2"/>
  <c r="CW26" i="2"/>
  <c r="CW25" i="2"/>
  <c r="CW23" i="2"/>
  <c r="CV23" i="2"/>
  <c r="CW22" i="2"/>
  <c r="CW15" i="2"/>
  <c r="CV15" i="2"/>
  <c r="CW7" i="2"/>
  <c r="CV7" i="2"/>
  <c r="CW5" i="2"/>
  <c r="CV5" i="2"/>
  <c r="CW4" i="2"/>
  <c r="CV4" i="2"/>
  <c r="CW27" i="2" l="1"/>
  <c r="DA35" i="2"/>
  <c r="DA27" i="2"/>
  <c r="K45" i="4"/>
  <c r="CW24" i="2"/>
  <c r="DA24" i="2"/>
  <c r="CW30" i="2"/>
  <c r="DA30" i="2"/>
  <c r="CT8" i="2"/>
  <c r="CT34" i="2"/>
  <c r="CW21" i="2"/>
  <c r="DO34" i="2" l="1"/>
  <c r="CU37" i="2"/>
  <c r="DO8" i="2"/>
  <c r="CU8" i="2"/>
  <c r="DA34" i="2"/>
  <c r="DA8" i="2"/>
  <c r="CU36" i="2"/>
  <c r="CU28" i="2"/>
  <c r="CU33" i="2"/>
  <c r="CU25" i="2"/>
  <c r="CU31" i="2"/>
  <c r="CU23" i="2"/>
  <c r="CU21" i="2"/>
  <c r="CU35" i="2"/>
  <c r="CU27" i="2"/>
  <c r="CU32" i="2"/>
  <c r="CU30" i="2"/>
  <c r="CU29" i="2"/>
  <c r="CU34" i="2"/>
  <c r="CU26" i="2"/>
  <c r="CU24" i="2"/>
  <c r="CU22" i="2"/>
  <c r="BL16" i="2"/>
  <c r="BH16" i="2"/>
  <c r="BD16" i="2"/>
  <c r="BE16" i="2" l="1"/>
  <c r="BI16" i="2"/>
  <c r="CE16" i="2" l="1"/>
  <c r="BW16" i="2" l="1"/>
  <c r="CX17" i="2"/>
  <c r="CY17" i="2" s="1"/>
  <c r="N64" i="4"/>
  <c r="N69" i="4"/>
  <c r="N57" i="4"/>
  <c r="N61" i="4"/>
  <c r="N49" i="4"/>
  <c r="M49" i="4" s="1"/>
  <c r="N54" i="4"/>
  <c r="N55" i="4" s="1"/>
  <c r="CA16" i="2" l="1"/>
  <c r="DH17" i="2"/>
  <c r="CT17" i="2"/>
  <c r="N70" i="4"/>
  <c r="N62" i="4"/>
  <c r="DO17" i="2" l="1"/>
  <c r="CU17" i="2"/>
  <c r="CB16" i="2"/>
  <c r="DA17" i="2"/>
  <c r="N22" i="4"/>
  <c r="N38" i="4"/>
  <c r="N30" i="4"/>
  <c r="N12" i="4"/>
  <c r="N3" i="4"/>
  <c r="AG3" i="4"/>
  <c r="AG4" i="4"/>
  <c r="AG5" i="4"/>
  <c r="AG6" i="4"/>
  <c r="AG7" i="4"/>
  <c r="AG8" i="4"/>
  <c r="AG9" i="4"/>
  <c r="AG10" i="4"/>
  <c r="AG11" i="4"/>
  <c r="AG12" i="4"/>
  <c r="AG13" i="4"/>
  <c r="AG15" i="4"/>
  <c r="AG16" i="4"/>
  <c r="AG17" i="4"/>
  <c r="AG18" i="4"/>
  <c r="AG19" i="4"/>
  <c r="AG20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8" i="4"/>
  <c r="AG39" i="4"/>
  <c r="AG40" i="4"/>
  <c r="AG41" i="4"/>
  <c r="AG42" i="4"/>
  <c r="AG43" i="4"/>
  <c r="AG44" i="4"/>
  <c r="CP34" i="2"/>
  <c r="CS33" i="2"/>
  <c r="CS15" i="2"/>
  <c r="CS32" i="2"/>
  <c r="CS31" i="2"/>
  <c r="CS29" i="2"/>
  <c r="CS25" i="2"/>
  <c r="CS23" i="2"/>
  <c r="CS22" i="2"/>
  <c r="CS7" i="2"/>
  <c r="CR7" i="2"/>
  <c r="CS5" i="2"/>
  <c r="CR5" i="2"/>
  <c r="CP6" i="2"/>
  <c r="DK34" i="2" l="1"/>
  <c r="CQ37" i="2"/>
  <c r="DK6" i="2"/>
  <c r="CQ6" i="2"/>
  <c r="M12" i="4"/>
  <c r="M30" i="4"/>
  <c r="M22" i="4"/>
  <c r="M3" i="4"/>
  <c r="M38" i="4"/>
  <c r="N2" i="4"/>
  <c r="CW6" i="2"/>
  <c r="N37" i="4"/>
  <c r="CQ22" i="2"/>
  <c r="CW34" i="2"/>
  <c r="N21" i="4"/>
  <c r="CQ29" i="2"/>
  <c r="CQ28" i="2"/>
  <c r="CQ27" i="2"/>
  <c r="CQ33" i="2"/>
  <c r="CQ25" i="2"/>
  <c r="CQ21" i="2"/>
  <c r="CQ26" i="2"/>
  <c r="CQ32" i="2"/>
  <c r="CQ24" i="2"/>
  <c r="CQ34" i="2"/>
  <c r="CQ31" i="2"/>
  <c r="CQ23" i="2"/>
  <c r="CQ30" i="2"/>
  <c r="CP8" i="2"/>
  <c r="CP35" i="2"/>
  <c r="CS4" i="2"/>
  <c r="CS26" i="2"/>
  <c r="CS28" i="2"/>
  <c r="CL21" i="2"/>
  <c r="DK8" i="2" l="1"/>
  <c r="CQ8" i="2"/>
  <c r="DK35" i="2"/>
  <c r="CS21" i="2"/>
  <c r="DG21" i="2"/>
  <c r="M21" i="4"/>
  <c r="M2" i="4"/>
  <c r="M37" i="4"/>
  <c r="N45" i="4"/>
  <c r="CQ36" i="2"/>
  <c r="CW36" i="2"/>
  <c r="CQ35" i="2"/>
  <c r="CW35" i="2"/>
  <c r="CP17" i="2"/>
  <c r="CQ17" i="2" s="1"/>
  <c r="CW8" i="2"/>
  <c r="P64" i="4"/>
  <c r="P69" i="4"/>
  <c r="P61" i="4"/>
  <c r="P54" i="4"/>
  <c r="P49" i="4"/>
  <c r="O49" i="4" s="1"/>
  <c r="P38" i="4"/>
  <c r="P30" i="4"/>
  <c r="P22" i="4"/>
  <c r="P12" i="4"/>
  <c r="P3" i="4"/>
  <c r="CO21" i="2"/>
  <c r="CN22" i="2"/>
  <c r="CO22" i="2"/>
  <c r="CN23" i="2"/>
  <c r="CO23" i="2"/>
  <c r="CL24" i="2"/>
  <c r="CN25" i="2"/>
  <c r="CO25" i="2"/>
  <c r="CN26" i="2"/>
  <c r="CO26" i="2"/>
  <c r="CL27" i="2"/>
  <c r="CN28" i="2"/>
  <c r="CO28" i="2"/>
  <c r="CN29" i="2"/>
  <c r="CO29" i="2"/>
  <c r="CL30" i="2"/>
  <c r="CN31" i="2"/>
  <c r="CO31" i="2"/>
  <c r="CN32" i="2"/>
  <c r="CO32" i="2"/>
  <c r="CL35" i="2"/>
  <c r="CS36" i="2"/>
  <c r="CN15" i="2"/>
  <c r="CL8" i="2"/>
  <c r="CM8" i="2" s="1"/>
  <c r="CN7" i="2"/>
  <c r="CL6" i="2"/>
  <c r="CM6" i="2" s="1"/>
  <c r="CN5" i="2"/>
  <c r="CN4" i="2"/>
  <c r="DK17" i="2" l="1"/>
  <c r="CW17" i="2"/>
  <c r="DG27" i="2"/>
  <c r="DG30" i="2"/>
  <c r="DB6" i="2"/>
  <c r="DG6" i="2"/>
  <c r="DG8" i="2"/>
  <c r="CS24" i="2"/>
  <c r="DG24" i="2"/>
  <c r="CS35" i="2"/>
  <c r="DG35" i="2"/>
  <c r="O12" i="4"/>
  <c r="O3" i="4"/>
  <c r="O22" i="4"/>
  <c r="CL34" i="2"/>
  <c r="CM37" i="2" s="1"/>
  <c r="O30" i="4"/>
  <c r="O38" i="4"/>
  <c r="M45" i="4"/>
  <c r="DB8" i="2"/>
  <c r="CS6" i="2"/>
  <c r="CL17" i="2"/>
  <c r="CM17" i="2" s="1"/>
  <c r="P37" i="4"/>
  <c r="CO27" i="2"/>
  <c r="CS27" i="2"/>
  <c r="CS8" i="2"/>
  <c r="CO30" i="2"/>
  <c r="CS30" i="2"/>
  <c r="P55" i="4"/>
  <c r="P70" i="4"/>
  <c r="P62" i="4"/>
  <c r="P2" i="4"/>
  <c r="P21" i="4"/>
  <c r="CO24" i="2"/>
  <c r="DC6" i="2" l="1"/>
  <c r="DC8" i="2"/>
  <c r="DG17" i="2"/>
  <c r="CS17" i="2"/>
  <c r="CS34" i="2"/>
  <c r="DG34" i="2"/>
  <c r="O21" i="4"/>
  <c r="O2" i="4"/>
  <c r="O37" i="4"/>
  <c r="DB17" i="2"/>
  <c r="DC17" i="2" s="1"/>
  <c r="CM33" i="2"/>
  <c r="P45" i="4"/>
  <c r="CM29" i="2"/>
  <c r="CM27" i="2"/>
  <c r="CM22" i="2"/>
  <c r="CM34" i="2"/>
  <c r="CM30" i="2"/>
  <c r="CM28" i="2"/>
  <c r="CM24" i="2"/>
  <c r="CM36" i="2"/>
  <c r="CM35" i="2"/>
  <c r="CM32" i="2"/>
  <c r="CM26" i="2"/>
  <c r="CM25" i="2"/>
  <c r="CM23" i="2"/>
  <c r="CM31" i="2"/>
  <c r="CM21" i="2"/>
  <c r="CO34" i="2"/>
  <c r="AP69" i="4"/>
  <c r="Z69" i="4"/>
  <c r="O45" i="4" l="1"/>
  <c r="P46" i="4"/>
  <c r="AJ69" i="4" l="1"/>
  <c r="AJ64" i="4"/>
  <c r="AJ61" i="4"/>
  <c r="AJ57" i="4"/>
  <c r="AJ54" i="4"/>
  <c r="AJ49" i="4"/>
  <c r="AJ38" i="4"/>
  <c r="AJ30" i="4"/>
  <c r="AJ22" i="4"/>
  <c r="AJ12" i="4"/>
  <c r="AJ3" i="4"/>
  <c r="AK30" i="4" l="1"/>
  <c r="AI30" i="4"/>
  <c r="AK3" i="4"/>
  <c r="AI3" i="4"/>
  <c r="AK12" i="4"/>
  <c r="AI12" i="4"/>
  <c r="AK22" i="4"/>
  <c r="AI22" i="4"/>
  <c r="AK38" i="4"/>
  <c r="AI38" i="4"/>
  <c r="AJ70" i="4"/>
  <c r="AJ21" i="4"/>
  <c r="AJ62" i="4"/>
  <c r="AJ37" i="4"/>
  <c r="AJ2" i="4"/>
  <c r="AJ55" i="4"/>
  <c r="AL69" i="4"/>
  <c r="R64" i="4"/>
  <c r="Z64" i="4"/>
  <c r="Z70" i="4" s="1"/>
  <c r="AL64" i="4"/>
  <c r="AN64" i="4"/>
  <c r="AP64" i="4"/>
  <c r="AP70" i="4" s="1"/>
  <c r="AT64" i="4"/>
  <c r="AR64" i="4"/>
  <c r="AN69" i="4"/>
  <c r="AR69" i="4"/>
  <c r="AT69" i="4"/>
  <c r="R69" i="4"/>
  <c r="R61" i="4"/>
  <c r="Z61" i="4"/>
  <c r="AN61" i="4"/>
  <c r="AP61" i="4"/>
  <c r="AR61" i="4"/>
  <c r="AT61" i="4"/>
  <c r="AL61" i="4"/>
  <c r="AN57" i="4"/>
  <c r="AN62" i="4" s="1"/>
  <c r="AP57" i="4"/>
  <c r="AP62" i="4" s="1"/>
  <c r="AR57" i="4"/>
  <c r="AR62" i="4" s="1"/>
  <c r="AT57" i="4"/>
  <c r="AT62" i="4" s="1"/>
  <c r="AL57" i="4"/>
  <c r="AL62" i="4" s="1"/>
  <c r="AN54" i="4"/>
  <c r="AL54" i="4"/>
  <c r="AT54" i="4"/>
  <c r="AR54" i="4"/>
  <c r="AP54" i="4"/>
  <c r="Z54" i="4"/>
  <c r="Z57" i="4"/>
  <c r="Z62" i="4" s="1"/>
  <c r="R57" i="4"/>
  <c r="AT49" i="4"/>
  <c r="AR49" i="4"/>
  <c r="AP49" i="4"/>
  <c r="AN49" i="4"/>
  <c r="AL49" i="4"/>
  <c r="AF49" i="4"/>
  <c r="AD49" i="4"/>
  <c r="AB49" i="4"/>
  <c r="Z49" i="4"/>
  <c r="X49" i="4"/>
  <c r="V49" i="4"/>
  <c r="T49" i="4"/>
  <c r="R49" i="4"/>
  <c r="Q49" i="4" s="1"/>
  <c r="R54" i="4"/>
  <c r="AK2" i="4" l="1"/>
  <c r="AI2" i="4"/>
  <c r="AK21" i="4"/>
  <c r="AI21" i="4"/>
  <c r="AK37" i="4"/>
  <c r="AI37" i="4"/>
  <c r="AR70" i="4"/>
  <c r="AO49" i="4"/>
  <c r="AM49" i="4"/>
  <c r="R70" i="4"/>
  <c r="AT55" i="4"/>
  <c r="AN70" i="4"/>
  <c r="AL70" i="4"/>
  <c r="R55" i="4"/>
  <c r="R62" i="4"/>
  <c r="AJ45" i="4"/>
  <c r="AQ49" i="4"/>
  <c r="AS49" i="4"/>
  <c r="AK49" i="4"/>
  <c r="Z55" i="4"/>
  <c r="AP55" i="4"/>
  <c r="AN55" i="4"/>
  <c r="AL55" i="4"/>
  <c r="AR55" i="4"/>
  <c r="AT70" i="4"/>
  <c r="CE37" i="2"/>
  <c r="CE36" i="2"/>
  <c r="CE35" i="2"/>
  <c r="CZ35" i="2" s="1"/>
  <c r="CZ37" i="2" l="1"/>
  <c r="CH37" i="2"/>
  <c r="CO37" i="2"/>
  <c r="CF37" i="2"/>
  <c r="AK45" i="4"/>
  <c r="AI45" i="4"/>
  <c r="CO36" i="2"/>
  <c r="CZ36" i="2"/>
  <c r="CO35" i="2"/>
  <c r="AJ46" i="4"/>
  <c r="CE7" i="2"/>
  <c r="CE5" i="2"/>
  <c r="AE49" i="4"/>
  <c r="AC49" i="4"/>
  <c r="W49" i="4"/>
  <c r="S49" i="4"/>
  <c r="R30" i="4"/>
  <c r="R38" i="4"/>
  <c r="R22" i="4"/>
  <c r="R12" i="4"/>
  <c r="R3" i="4"/>
  <c r="Q12" i="4" l="1"/>
  <c r="Q22" i="4"/>
  <c r="Q30" i="4"/>
  <c r="Q3" i="4"/>
  <c r="Q38" i="4"/>
  <c r="CZ5" i="2"/>
  <c r="CZ7" i="2"/>
  <c r="CI5" i="2"/>
  <c r="CO5" i="2"/>
  <c r="CI7" i="2"/>
  <c r="CO7" i="2"/>
  <c r="R37" i="4"/>
  <c r="AG49" i="4"/>
  <c r="AA49" i="4"/>
  <c r="Y49" i="4"/>
  <c r="U49" i="4"/>
  <c r="R21" i="4"/>
  <c r="R2" i="4"/>
  <c r="Q21" i="4" l="1"/>
  <c r="Q2" i="4"/>
  <c r="CK5" i="2"/>
  <c r="DD5" i="2"/>
  <c r="CK7" i="2"/>
  <c r="DD7" i="2"/>
  <c r="Q37" i="4"/>
  <c r="R45" i="4"/>
  <c r="Q45" i="4" l="1"/>
  <c r="R46" i="4"/>
  <c r="T38" i="4" l="1"/>
  <c r="T30" i="4"/>
  <c r="T22" i="4"/>
  <c r="T12" i="4"/>
  <c r="T3" i="4"/>
  <c r="S3" i="4" l="1"/>
  <c r="S30" i="4"/>
  <c r="S12" i="4"/>
  <c r="S22" i="4"/>
  <c r="S38" i="4"/>
  <c r="T37" i="4"/>
  <c r="T21" i="4"/>
  <c r="T2" i="4"/>
  <c r="S21" i="4" l="1"/>
  <c r="S2" i="4"/>
  <c r="S37" i="4"/>
  <c r="T45" i="4"/>
  <c r="S45" i="4" l="1"/>
  <c r="T46" i="4"/>
  <c r="V38" i="4" l="1"/>
  <c r="V30" i="4"/>
  <c r="V22" i="4"/>
  <c r="V12" i="4"/>
  <c r="V3" i="4"/>
  <c r="U12" i="4" l="1"/>
  <c r="U3" i="4"/>
  <c r="U22" i="4"/>
  <c r="U30" i="4"/>
  <c r="U38" i="4"/>
  <c r="V37" i="4"/>
  <c r="V21" i="4"/>
  <c r="V2" i="4"/>
  <c r="BW15" i="2"/>
  <c r="BW14" i="2" s="1"/>
  <c r="U2" i="4" l="1"/>
  <c r="U21" i="4"/>
  <c r="U37" i="4"/>
  <c r="CE15" i="2"/>
  <c r="CE14" i="2" s="1"/>
  <c r="CR15" i="2"/>
  <c r="V45" i="4"/>
  <c r="BW32" i="2"/>
  <c r="CR32" i="2" s="1"/>
  <c r="BW31" i="2"/>
  <c r="CR31" i="2" s="1"/>
  <c r="BW29" i="2"/>
  <c r="CR29" i="2" s="1"/>
  <c r="BW28" i="2"/>
  <c r="BW26" i="2"/>
  <c r="CR26" i="2" s="1"/>
  <c r="BW25" i="2"/>
  <c r="CR25" i="2" s="1"/>
  <c r="BW23" i="2"/>
  <c r="BW22" i="2"/>
  <c r="CZ15" i="2" l="1"/>
  <c r="U45" i="4"/>
  <c r="CO15" i="2"/>
  <c r="CR22" i="2"/>
  <c r="CR28" i="2"/>
  <c r="CI23" i="2"/>
  <c r="CR23" i="2"/>
  <c r="V46" i="4"/>
  <c r="CK15" i="2"/>
  <c r="CA25" i="2"/>
  <c r="CA31" i="2"/>
  <c r="CA26" i="2"/>
  <c r="CA32" i="2"/>
  <c r="CA22" i="2"/>
  <c r="CA28" i="2"/>
  <c r="CA29" i="2"/>
  <c r="CK23" i="2" l="1"/>
  <c r="DD23" i="2"/>
  <c r="CI25" i="2"/>
  <c r="CV25" i="2"/>
  <c r="CI31" i="2"/>
  <c r="CV31" i="2"/>
  <c r="CI22" i="2"/>
  <c r="CV22" i="2"/>
  <c r="CI29" i="2"/>
  <c r="DD29" i="2" s="1"/>
  <c r="CV29" i="2"/>
  <c r="CI32" i="2"/>
  <c r="CV32" i="2"/>
  <c r="CI28" i="2"/>
  <c r="CV28" i="2"/>
  <c r="CI26" i="2"/>
  <c r="CV26" i="2"/>
  <c r="CA27" i="2"/>
  <c r="CV27" i="2" s="1"/>
  <c r="CA30" i="2"/>
  <c r="CV30" i="2" s="1"/>
  <c r="CA21" i="2"/>
  <c r="CV21" i="2" s="1"/>
  <c r="CA35" i="2"/>
  <c r="CA24" i="2"/>
  <c r="CV24" i="2" s="1"/>
  <c r="BW4" i="2"/>
  <c r="BX13" i="2" s="1"/>
  <c r="BX5" i="2" l="1"/>
  <c r="BX7" i="2"/>
  <c r="BX4" i="2"/>
  <c r="BX16" i="2"/>
  <c r="BX15" i="2"/>
  <c r="CK31" i="2"/>
  <c r="DD31" i="2"/>
  <c r="CK32" i="2"/>
  <c r="DD32" i="2"/>
  <c r="CK25" i="2"/>
  <c r="DD25" i="2"/>
  <c r="CK26" i="2"/>
  <c r="DD26" i="2"/>
  <c r="CK22" i="2"/>
  <c r="DD22" i="2"/>
  <c r="CK28" i="2"/>
  <c r="DD28" i="2"/>
  <c r="CR4" i="2"/>
  <c r="CI30" i="2"/>
  <c r="DD30" i="2" s="1"/>
  <c r="CI35" i="2"/>
  <c r="DD35" i="2" s="1"/>
  <c r="CV35" i="2"/>
  <c r="CI27" i="2"/>
  <c r="DD27" i="2" s="1"/>
  <c r="CK29" i="2"/>
  <c r="CI36" i="2"/>
  <c r="CI24" i="2"/>
  <c r="DD24" i="2" s="1"/>
  <c r="CI21" i="2"/>
  <c r="DD21" i="2" s="1"/>
  <c r="CE4" i="2"/>
  <c r="CF13" i="2" l="1"/>
  <c r="CF4" i="2"/>
  <c r="CF16" i="2"/>
  <c r="CF5" i="2"/>
  <c r="CF7" i="2"/>
  <c r="CF15" i="2"/>
  <c r="CI34" i="2"/>
  <c r="CJ25" i="2" s="1"/>
  <c r="DD36" i="2"/>
  <c r="CZ4" i="2"/>
  <c r="CI4" i="2"/>
  <c r="CO4" i="2"/>
  <c r="AW36" i="2"/>
  <c r="CJ36" i="2" l="1"/>
  <c r="CJ28" i="2"/>
  <c r="CJ23" i="2"/>
  <c r="CJ24" i="2"/>
  <c r="CJ34" i="2"/>
  <c r="CJ27" i="2"/>
  <c r="CJ29" i="2"/>
  <c r="CJ31" i="2"/>
  <c r="DD34" i="2"/>
  <c r="CJ37" i="2"/>
  <c r="CJ13" i="2"/>
  <c r="CJ15" i="2"/>
  <c r="CJ4" i="2"/>
  <c r="CJ16" i="2"/>
  <c r="CJ5" i="2"/>
  <c r="CJ7" i="2"/>
  <c r="CJ35" i="2"/>
  <c r="CJ22" i="2"/>
  <c r="CJ21" i="2"/>
  <c r="CJ30" i="2"/>
  <c r="CJ32" i="2"/>
  <c r="CJ26" i="2"/>
  <c r="DD4" i="2"/>
  <c r="CK4" i="2"/>
  <c r="X38" i="4"/>
  <c r="X30" i="4"/>
  <c r="X22" i="4"/>
  <c r="X12" i="4"/>
  <c r="X3" i="4"/>
  <c r="W22" i="4" l="1"/>
  <c r="W30" i="4"/>
  <c r="W3" i="4"/>
  <c r="W12" i="4"/>
  <c r="W38" i="4"/>
  <c r="X37" i="4"/>
  <c r="X21" i="4"/>
  <c r="X2" i="4"/>
  <c r="CE8" i="2"/>
  <c r="CE6" i="2"/>
  <c r="BS36" i="2"/>
  <c r="CN36" i="2" s="1"/>
  <c r="BS35" i="2"/>
  <c r="BU32" i="2"/>
  <c r="BZ31" i="2"/>
  <c r="BU31" i="2"/>
  <c r="BS30" i="2"/>
  <c r="CN30" i="2" s="1"/>
  <c r="BU29" i="2"/>
  <c r="BU28" i="2"/>
  <c r="BS27" i="2"/>
  <c r="CN27" i="2" s="1"/>
  <c r="BU26" i="2"/>
  <c r="BU25" i="2"/>
  <c r="BS24" i="2"/>
  <c r="CN24" i="2" s="1"/>
  <c r="BW36" i="2"/>
  <c r="CR36" i="2" s="1"/>
  <c r="BU23" i="2"/>
  <c r="BZ22" i="2"/>
  <c r="BU22" i="2"/>
  <c r="BS21" i="2"/>
  <c r="CN21" i="2" s="1"/>
  <c r="CC15" i="2"/>
  <c r="CD15" i="2"/>
  <c r="BU15" i="2"/>
  <c r="CA8" i="2"/>
  <c r="CB8" i="2" s="1"/>
  <c r="BS8" i="2"/>
  <c r="BT8" i="2" s="1"/>
  <c r="CH7" i="2"/>
  <c r="CD7" i="2"/>
  <c r="CC7" i="2"/>
  <c r="BZ7" i="2"/>
  <c r="BY7" i="2"/>
  <c r="BU7" i="2"/>
  <c r="CA6" i="2"/>
  <c r="CB6" i="2" s="1"/>
  <c r="BW6" i="2"/>
  <c r="BS6" i="2"/>
  <c r="BT6" i="2" s="1"/>
  <c r="CD5" i="2"/>
  <c r="CC5" i="2"/>
  <c r="BZ5" i="2"/>
  <c r="BY5" i="2"/>
  <c r="BU5" i="2"/>
  <c r="CH4" i="2"/>
  <c r="CD4" i="2"/>
  <c r="CC4" i="2"/>
  <c r="BZ4" i="2"/>
  <c r="BY4" i="2"/>
  <c r="BU4" i="2"/>
  <c r="CF6" i="2" l="1"/>
  <c r="CR6" i="2"/>
  <c r="BX6" i="2"/>
  <c r="CZ8" i="2"/>
  <c r="CF8" i="2"/>
  <c r="W21" i="4"/>
  <c r="W2" i="4"/>
  <c r="W37" i="4"/>
  <c r="CO6" i="2"/>
  <c r="CZ6" i="2"/>
  <c r="CN6" i="2"/>
  <c r="CV8" i="2"/>
  <c r="CN35" i="2"/>
  <c r="CV6" i="2"/>
  <c r="CN8" i="2"/>
  <c r="BS17" i="2"/>
  <c r="CA17" i="2"/>
  <c r="CO8" i="2"/>
  <c r="CE17" i="2"/>
  <c r="CI6" i="2"/>
  <c r="BW24" i="2"/>
  <c r="CR24" i="2" s="1"/>
  <c r="BW30" i="2"/>
  <c r="CR30" i="2" s="1"/>
  <c r="BW21" i="2"/>
  <c r="BW27" i="2"/>
  <c r="BW8" i="2"/>
  <c r="X45" i="4"/>
  <c r="BS34" i="2"/>
  <c r="BT37" i="2" s="1"/>
  <c r="BW35" i="2"/>
  <c r="BZ28" i="2"/>
  <c r="CD6" i="2"/>
  <c r="BZ23" i="2"/>
  <c r="BZ29" i="2"/>
  <c r="BZ36" i="2"/>
  <c r="BZ6" i="2"/>
  <c r="BZ15" i="2"/>
  <c r="BZ26" i="2"/>
  <c r="BZ32" i="2"/>
  <c r="BZ25" i="2"/>
  <c r="BT17" i="2" l="1"/>
  <c r="CB17" i="2"/>
  <c r="CD17" i="2"/>
  <c r="CF17" i="2"/>
  <c r="CH17" i="2"/>
  <c r="CJ6" i="2"/>
  <c r="BW17" i="2"/>
  <c r="BX8" i="2"/>
  <c r="CN17" i="2"/>
  <c r="CZ17" i="2"/>
  <c r="CO17" i="2"/>
  <c r="CV17" i="2"/>
  <c r="DD6" i="2"/>
  <c r="W45" i="4"/>
  <c r="CR35" i="2"/>
  <c r="BZ21" i="2"/>
  <c r="CR21" i="2"/>
  <c r="CR8" i="2"/>
  <c r="BZ27" i="2"/>
  <c r="CR27" i="2"/>
  <c r="BT21" i="2"/>
  <c r="CN34" i="2"/>
  <c r="X46" i="4"/>
  <c r="BT36" i="2"/>
  <c r="BW34" i="2"/>
  <c r="BX37" i="2" s="1"/>
  <c r="CI8" i="2"/>
  <c r="BT23" i="2"/>
  <c r="BT28" i="2"/>
  <c r="BT32" i="2"/>
  <c r="BT31" i="2"/>
  <c r="BT25" i="2"/>
  <c r="BT29" i="2"/>
  <c r="BT34" i="2"/>
  <c r="BT22" i="2"/>
  <c r="BT26" i="2"/>
  <c r="BT30" i="2"/>
  <c r="BT24" i="2"/>
  <c r="BT27" i="2"/>
  <c r="BT35" i="2"/>
  <c r="BZ35" i="2"/>
  <c r="BZ8" i="2"/>
  <c r="CD8" i="2"/>
  <c r="CH15" i="2"/>
  <c r="CH28" i="2"/>
  <c r="CH32" i="2"/>
  <c r="CH22" i="2"/>
  <c r="CD26" i="2"/>
  <c r="BZ30" i="2"/>
  <c r="CH23" i="2"/>
  <c r="CD25" i="2"/>
  <c r="BZ24" i="2"/>
  <c r="CD31" i="2"/>
  <c r="CH29" i="2"/>
  <c r="CA36" i="2"/>
  <c r="CV36" i="2" s="1"/>
  <c r="CD23" i="2"/>
  <c r="CD32" i="2"/>
  <c r="CD28" i="2"/>
  <c r="CD22" i="2"/>
  <c r="CH6" i="2"/>
  <c r="CH25" i="2"/>
  <c r="CD29" i="2"/>
  <c r="BZ17" i="2" l="1"/>
  <c r="CJ8" i="2"/>
  <c r="CR17" i="2"/>
  <c r="BX17" i="2"/>
  <c r="CI17" i="2"/>
  <c r="DD8" i="2"/>
  <c r="BX21" i="2"/>
  <c r="CR34" i="2"/>
  <c r="BX25" i="2"/>
  <c r="BX23" i="2"/>
  <c r="BX30" i="2"/>
  <c r="BX35" i="2"/>
  <c r="BX32" i="2"/>
  <c r="BX31" i="2"/>
  <c r="BX24" i="2"/>
  <c r="BX28" i="2"/>
  <c r="BX22" i="2"/>
  <c r="BX34" i="2"/>
  <c r="BZ34" i="2"/>
  <c r="BX36" i="2"/>
  <c r="BX29" i="2"/>
  <c r="BX26" i="2"/>
  <c r="BX27" i="2"/>
  <c r="CH8" i="2"/>
  <c r="CD35" i="2"/>
  <c r="CD30" i="2"/>
  <c r="CH31" i="2"/>
  <c r="CH21" i="2"/>
  <c r="CA34" i="2"/>
  <c r="CB37" i="2" s="1"/>
  <c r="CD36" i="2"/>
  <c r="CD21" i="2"/>
  <c r="CH26" i="2"/>
  <c r="CD27" i="2"/>
  <c r="CH27" i="2"/>
  <c r="CD24" i="2"/>
  <c r="DD17" i="2" l="1"/>
  <c r="CJ17" i="2"/>
  <c r="CV34" i="2"/>
  <c r="CB23" i="2"/>
  <c r="CB34" i="2"/>
  <c r="CB29" i="2"/>
  <c r="CB31" i="2"/>
  <c r="CB22" i="2"/>
  <c r="CB28" i="2"/>
  <c r="CB32" i="2"/>
  <c r="CB26" i="2"/>
  <c r="CB25" i="2"/>
  <c r="CB35" i="2"/>
  <c r="CB30" i="2"/>
  <c r="CB27" i="2"/>
  <c r="CB21" i="2"/>
  <c r="CB24" i="2"/>
  <c r="CB36" i="2"/>
  <c r="CD34" i="2"/>
  <c r="CH35" i="2"/>
  <c r="CH30" i="2"/>
  <c r="CF30" i="2"/>
  <c r="CH36" i="2"/>
  <c r="CH24" i="2"/>
  <c r="BL7" i="2"/>
  <c r="BL5" i="2"/>
  <c r="BL4" i="2"/>
  <c r="BP6" i="2"/>
  <c r="BP21" i="2"/>
  <c r="CK21" i="2" s="1"/>
  <c r="BQ6" i="2" l="1"/>
  <c r="BM5" i="2"/>
  <c r="BM7" i="2"/>
  <c r="BM13" i="2"/>
  <c r="BM4" i="2"/>
  <c r="BM16" i="2"/>
  <c r="BO5" i="2"/>
  <c r="BP8" i="2"/>
  <c r="CK6" i="2"/>
  <c r="CF28" i="2"/>
  <c r="CF35" i="2"/>
  <c r="CF32" i="2"/>
  <c r="CF34" i="2"/>
  <c r="CF31" i="2"/>
  <c r="CF36" i="2"/>
  <c r="CF25" i="2"/>
  <c r="CF26" i="2"/>
  <c r="CF22" i="2"/>
  <c r="CF23" i="2"/>
  <c r="CF29" i="2"/>
  <c r="CF27" i="2"/>
  <c r="CF21" i="2"/>
  <c r="CF24" i="2"/>
  <c r="BV5" i="2"/>
  <c r="CG5" i="2"/>
  <c r="BV7" i="2"/>
  <c r="CG7" i="2"/>
  <c r="BV4" i="2"/>
  <c r="CG4" i="2"/>
  <c r="CH34" i="2"/>
  <c r="AD37" i="4"/>
  <c r="AF37" i="4"/>
  <c r="AN37" i="4"/>
  <c r="AP37" i="4"/>
  <c r="AR37" i="4"/>
  <c r="AT37" i="4"/>
  <c r="AD21" i="4"/>
  <c r="AF21" i="4"/>
  <c r="AN21" i="4"/>
  <c r="AP21" i="4"/>
  <c r="AR21" i="4"/>
  <c r="AT21" i="4"/>
  <c r="AD2" i="4"/>
  <c r="AF2" i="4"/>
  <c r="AN2" i="4"/>
  <c r="AP2" i="4"/>
  <c r="AR2" i="4"/>
  <c r="AT2" i="4"/>
  <c r="Z38" i="4"/>
  <c r="Z30" i="4"/>
  <c r="Z22" i="4"/>
  <c r="Z12" i="4"/>
  <c r="Z3" i="4"/>
  <c r="BR7" i="2"/>
  <c r="BR5" i="2"/>
  <c r="BQ8" i="2" l="1"/>
  <c r="AQ21" i="4"/>
  <c r="AO2" i="4"/>
  <c r="AM2" i="4"/>
  <c r="AE21" i="4"/>
  <c r="AS2" i="4"/>
  <c r="Y22" i="4"/>
  <c r="AE2" i="4"/>
  <c r="AO21" i="4"/>
  <c r="AM21" i="4"/>
  <c r="AQ2" i="4"/>
  <c r="Y30" i="4"/>
  <c r="Y3" i="4"/>
  <c r="Y12" i="4"/>
  <c r="AS21" i="4"/>
  <c r="AE37" i="4"/>
  <c r="AS37" i="4"/>
  <c r="AQ37" i="4"/>
  <c r="Y38" i="4"/>
  <c r="AO37" i="4"/>
  <c r="AM37" i="4"/>
  <c r="AG2" i="4"/>
  <c r="AG37" i="4"/>
  <c r="AG21" i="4"/>
  <c r="CK8" i="2"/>
  <c r="BP17" i="2"/>
  <c r="AT45" i="4"/>
  <c r="AT46" i="4" s="1"/>
  <c r="AF45" i="4"/>
  <c r="AP45" i="4"/>
  <c r="Z37" i="4"/>
  <c r="AR45" i="4"/>
  <c r="AD45" i="4"/>
  <c r="AN45" i="4"/>
  <c r="Z21" i="4"/>
  <c r="Z2" i="4"/>
  <c r="BR4" i="2"/>
  <c r="BQ17" i="2" l="1"/>
  <c r="CK17" i="2"/>
  <c r="Y21" i="4"/>
  <c r="Y2" i="4"/>
  <c r="AQ45" i="4"/>
  <c r="Y37" i="4"/>
  <c r="AO45" i="4"/>
  <c r="AM45" i="4"/>
  <c r="AE45" i="4"/>
  <c r="AS45" i="4"/>
  <c r="AG45" i="4"/>
  <c r="AF46" i="4"/>
  <c r="AD46" i="4"/>
  <c r="AR46" i="4"/>
  <c r="AP46" i="4"/>
  <c r="AN46" i="4"/>
  <c r="Z45" i="4"/>
  <c r="Y45" i="4" l="1"/>
  <c r="Z46" i="4"/>
  <c r="BH8" i="2"/>
  <c r="BI8" i="2" s="1"/>
  <c r="BH6" i="2"/>
  <c r="BI6" i="2" s="1"/>
  <c r="AB38" i="4"/>
  <c r="AB3" i="4"/>
  <c r="AB12" i="4"/>
  <c r="AB22" i="4"/>
  <c r="AB30" i="4"/>
  <c r="AC30" i="4" l="1"/>
  <c r="AA30" i="4"/>
  <c r="AC22" i="4"/>
  <c r="AA22" i="4"/>
  <c r="AC12" i="4"/>
  <c r="AA12" i="4"/>
  <c r="AC3" i="4"/>
  <c r="AA3" i="4"/>
  <c r="AC38" i="4"/>
  <c r="AA38" i="4"/>
  <c r="BH17" i="2"/>
  <c r="AB37" i="4"/>
  <c r="CC6" i="2"/>
  <c r="CC8" i="2"/>
  <c r="AB21" i="4"/>
  <c r="AB2" i="4"/>
  <c r="BI17" i="2" l="1"/>
  <c r="CC17" i="2"/>
  <c r="AC2" i="4"/>
  <c r="AA2" i="4"/>
  <c r="AC21" i="4"/>
  <c r="AA21" i="4"/>
  <c r="AC37" i="4"/>
  <c r="AA37" i="4"/>
  <c r="AB45" i="4"/>
  <c r="H37" i="2"/>
  <c r="T37" i="2" s="1"/>
  <c r="V37" i="2"/>
  <c r="AK37" i="2"/>
  <c r="AL37" i="2" s="1"/>
  <c r="BD37" i="2"/>
  <c r="AO37" i="2" l="1"/>
  <c r="AQ37" i="2" s="1"/>
  <c r="AM37" i="2"/>
  <c r="AN37" i="2"/>
  <c r="BF37" i="2"/>
  <c r="BY37" i="2"/>
  <c r="BG37" i="2"/>
  <c r="Y37" i="2"/>
  <c r="W37" i="2"/>
  <c r="Z37" i="2"/>
  <c r="AC45" i="4"/>
  <c r="AA45" i="4"/>
  <c r="AB46" i="4"/>
  <c r="BH37" i="2"/>
  <c r="I37" i="2"/>
  <c r="X37" i="2" s="1"/>
  <c r="AS37" i="2"/>
  <c r="BO7" i="2"/>
  <c r="BO4" i="2"/>
  <c r="AC37" i="2" l="1"/>
  <c r="AV37" i="2"/>
  <c r="BC37" i="2"/>
  <c r="BK37" i="2"/>
  <c r="BJ37" i="2"/>
  <c r="CC37" i="2"/>
  <c r="AR37" i="2"/>
  <c r="AU37" i="2"/>
  <c r="AJ37" i="2"/>
  <c r="BL37" i="2"/>
  <c r="J37" i="2"/>
  <c r="AB37" i="2" s="1"/>
  <c r="BP37" i="2" l="1"/>
  <c r="BV37" i="2"/>
  <c r="BN37" i="2"/>
  <c r="BO37" i="2"/>
  <c r="CG37" i="2"/>
  <c r="I30" i="2"/>
  <c r="H30" i="2"/>
  <c r="G30" i="2"/>
  <c r="P30" i="2" l="1"/>
  <c r="BR37" i="2"/>
  <c r="CK37" i="2"/>
  <c r="BD6" i="2"/>
  <c r="BE6" i="2" s="1"/>
  <c r="BD8" i="2" l="1"/>
  <c r="BE8" i="2" s="1"/>
  <c r="BY6" i="2"/>
  <c r="BD31" i="2"/>
  <c r="BY31" i="2" s="1"/>
  <c r="BD15" i="2"/>
  <c r="BD14" i="2" s="1"/>
  <c r="BD32" i="2"/>
  <c r="BY32" i="2" s="1"/>
  <c r="BD28" i="2"/>
  <c r="BD29" i="2"/>
  <c r="BY29" i="2" s="1"/>
  <c r="BD25" i="2"/>
  <c r="BY25" i="2" s="1"/>
  <c r="BD26" i="2"/>
  <c r="BY26" i="2" s="1"/>
  <c r="BD22" i="2"/>
  <c r="BD23" i="2"/>
  <c r="BY23" i="2" s="1"/>
  <c r="BE15" i="2" l="1"/>
  <c r="BY28" i="2"/>
  <c r="BY22" i="2"/>
  <c r="BY8" i="2"/>
  <c r="BD17" i="2"/>
  <c r="BL15" i="2"/>
  <c r="BL14" i="2" s="1"/>
  <c r="BY15" i="2"/>
  <c r="BR15" i="2"/>
  <c r="BH22" i="2"/>
  <c r="BH23" i="2"/>
  <c r="CC23" i="2" s="1"/>
  <c r="BH29" i="2"/>
  <c r="BH31" i="2"/>
  <c r="BG28" i="2"/>
  <c r="BH28" i="2"/>
  <c r="BG26" i="2"/>
  <c r="BH26" i="2"/>
  <c r="CC26" i="2" s="1"/>
  <c r="BG32" i="2"/>
  <c r="BH32" i="2"/>
  <c r="CC32" i="2" s="1"/>
  <c r="BG25" i="2"/>
  <c r="BH25" i="2"/>
  <c r="CC25" i="2" s="1"/>
  <c r="BD36" i="2"/>
  <c r="BY36" i="2" s="1"/>
  <c r="BG22" i="2"/>
  <c r="BD35" i="2"/>
  <c r="BD27" i="2"/>
  <c r="BY27" i="2" s="1"/>
  <c r="BG29" i="2"/>
  <c r="BG23" i="2"/>
  <c r="BD21" i="2"/>
  <c r="BY21" i="2" s="1"/>
  <c r="BD24" i="2"/>
  <c r="BY24" i="2" s="1"/>
  <c r="BG31" i="2"/>
  <c r="BD30" i="2"/>
  <c r="BY30" i="2" s="1"/>
  <c r="BE17" i="2" l="1"/>
  <c r="BY17" i="2"/>
  <c r="BM15" i="2"/>
  <c r="BY35" i="2"/>
  <c r="CC28" i="2"/>
  <c r="BO15" i="2"/>
  <c r="BL22" i="2"/>
  <c r="CC22" i="2"/>
  <c r="BK31" i="2"/>
  <c r="CC31" i="2"/>
  <c r="BK29" i="2"/>
  <c r="CC29" i="2"/>
  <c r="BV15" i="2"/>
  <c r="CG15" i="2"/>
  <c r="BH27" i="2"/>
  <c r="CC27" i="2" s="1"/>
  <c r="BH21" i="2"/>
  <c r="BL23" i="2"/>
  <c r="BK23" i="2"/>
  <c r="BK22" i="2"/>
  <c r="BR22" i="2"/>
  <c r="BH36" i="2"/>
  <c r="BK25" i="2"/>
  <c r="BH35" i="2"/>
  <c r="BH30" i="2"/>
  <c r="CC30" i="2" s="1"/>
  <c r="BK32" i="2"/>
  <c r="BK28" i="2"/>
  <c r="BJ26" i="2"/>
  <c r="BK26" i="2"/>
  <c r="BH24" i="2"/>
  <c r="CC24" i="2" s="1"/>
  <c r="BD34" i="2"/>
  <c r="BE37" i="2" s="1"/>
  <c r="BO22" i="2" l="1"/>
  <c r="CC35" i="2"/>
  <c r="BK27" i="2"/>
  <c r="BL21" i="2"/>
  <c r="BV23" i="2"/>
  <c r="CG23" i="2"/>
  <c r="BY34" i="2"/>
  <c r="BK21" i="2"/>
  <c r="CC21" i="2"/>
  <c r="BK36" i="2"/>
  <c r="CC36" i="2"/>
  <c r="BV22" i="2"/>
  <c r="CG22" i="2"/>
  <c r="BO23" i="2"/>
  <c r="BR23" i="2"/>
  <c r="BH34" i="2"/>
  <c r="BI37" i="2" s="1"/>
  <c r="BK24" i="2"/>
  <c r="BK30" i="2"/>
  <c r="BK35" i="2"/>
  <c r="BE21" i="2"/>
  <c r="BE35" i="2"/>
  <c r="BE34" i="2"/>
  <c r="BE26" i="2"/>
  <c r="BE22" i="2"/>
  <c r="BE31" i="2"/>
  <c r="BE25" i="2"/>
  <c r="BE23" i="2"/>
  <c r="BE29" i="2"/>
  <c r="BE32" i="2"/>
  <c r="BE28" i="2"/>
  <c r="BE24" i="2"/>
  <c r="BE30" i="2"/>
  <c r="BE36" i="2"/>
  <c r="BE27" i="2"/>
  <c r="CC34" i="2" l="1"/>
  <c r="BO21" i="2"/>
  <c r="BV21" i="2"/>
  <c r="CG21" i="2"/>
  <c r="BI35" i="2"/>
  <c r="BI29" i="2"/>
  <c r="BR21" i="2"/>
  <c r="BI36" i="2"/>
  <c r="BI30" i="2"/>
  <c r="BI26" i="2"/>
  <c r="BI21" i="2"/>
  <c r="BI31" i="2"/>
  <c r="BI34" i="2"/>
  <c r="BI32" i="2"/>
  <c r="BI24" i="2"/>
  <c r="BI23" i="2"/>
  <c r="BI28" i="2"/>
  <c r="BI22" i="2"/>
  <c r="BK34" i="2"/>
  <c r="BI27" i="2"/>
  <c r="BI25" i="2"/>
  <c r="AZ35" i="2" l="1"/>
  <c r="AZ36" i="2"/>
  <c r="BU36" i="2" s="1"/>
  <c r="AZ30" i="2"/>
  <c r="AZ27" i="2"/>
  <c r="AZ24" i="2"/>
  <c r="AZ21" i="2"/>
  <c r="BG27" i="2" l="1"/>
  <c r="BU27" i="2"/>
  <c r="BG21" i="2"/>
  <c r="BU21" i="2"/>
  <c r="BG30" i="2"/>
  <c r="BU30" i="2"/>
  <c r="BG24" i="2"/>
  <c r="BU24" i="2"/>
  <c r="BG35" i="2"/>
  <c r="BU35" i="2"/>
  <c r="AZ34" i="2"/>
  <c r="BG36" i="2"/>
  <c r="AZ8" i="2"/>
  <c r="BA8" i="2" s="1"/>
  <c r="AZ6" i="2"/>
  <c r="BA35" i="2" l="1"/>
  <c r="BA37" i="2"/>
  <c r="BA6" i="2"/>
  <c r="AZ17" i="2"/>
  <c r="BU17" i="2" s="1"/>
  <c r="BA23" i="2"/>
  <c r="BA26" i="2"/>
  <c r="BU34" i="2"/>
  <c r="BL6" i="2"/>
  <c r="BU6" i="2"/>
  <c r="BL8" i="2"/>
  <c r="BU8" i="2"/>
  <c r="BA36" i="2"/>
  <c r="BA31" i="2"/>
  <c r="BA21" i="2"/>
  <c r="BA27" i="2"/>
  <c r="BR8" i="2"/>
  <c r="BA32" i="2"/>
  <c r="BA30" i="2"/>
  <c r="BA29" i="2"/>
  <c r="BA24" i="2"/>
  <c r="BA25" i="2"/>
  <c r="BA34" i="2"/>
  <c r="BA28" i="2"/>
  <c r="BG34" i="2"/>
  <c r="BA22" i="2"/>
  <c r="BB26" i="2"/>
  <c r="BB22" i="2"/>
  <c r="BB23" i="2"/>
  <c r="BM6" i="2" l="1"/>
  <c r="BM8" i="2"/>
  <c r="BA17" i="2"/>
  <c r="BO6" i="2"/>
  <c r="BO8" i="2"/>
  <c r="BL17" i="2"/>
  <c r="BV8" i="2"/>
  <c r="CG8" i="2"/>
  <c r="BV6" i="2"/>
  <c r="CG6" i="2"/>
  <c r="BR6" i="2"/>
  <c r="BB25" i="2"/>
  <c r="BB29" i="2"/>
  <c r="BB28" i="2"/>
  <c r="BB32" i="2"/>
  <c r="BB31" i="2"/>
  <c r="CG17" i="2" l="1"/>
  <c r="BV17" i="2"/>
  <c r="BM17" i="2"/>
  <c r="BK15" i="2"/>
  <c r="BJ15" i="2"/>
  <c r="BK7" i="2"/>
  <c r="BJ7" i="2"/>
  <c r="BK5" i="2"/>
  <c r="BJ5" i="2"/>
  <c r="BK4" i="2"/>
  <c r="BJ4" i="2"/>
  <c r="BG5" i="2"/>
  <c r="BG7" i="2"/>
  <c r="BG15" i="2"/>
  <c r="BG4" i="2"/>
  <c r="BB4" i="2"/>
  <c r="BF15" i="2"/>
  <c r="BF7" i="2"/>
  <c r="BF5" i="2"/>
  <c r="BF4" i="2"/>
  <c r="BJ6" i="2" l="1"/>
  <c r="BK8" i="2"/>
  <c r="BJ8" i="2"/>
  <c r="BK6" i="2"/>
  <c r="BB5" i="2"/>
  <c r="BB7" i="2"/>
  <c r="BB15" i="2"/>
  <c r="BG6" i="2"/>
  <c r="BG8" i="2" l="1"/>
  <c r="AW26" i="2"/>
  <c r="AW29" i="2"/>
  <c r="AX23" i="2" l="1"/>
  <c r="AX22" i="2"/>
  <c r="AX24" i="2"/>
  <c r="AX26" i="2"/>
  <c r="AX25" i="2"/>
  <c r="AX27" i="2"/>
  <c r="AX29" i="2"/>
  <c r="AX28" i="2"/>
  <c r="AX30" i="2"/>
  <c r="AX32" i="2"/>
  <c r="AX31" i="2"/>
  <c r="AX34" i="2"/>
  <c r="AX36" i="2"/>
  <c r="AX35" i="2"/>
  <c r="AX21" i="2"/>
  <c r="AY23" i="2" l="1"/>
  <c r="AY22" i="2"/>
  <c r="AY26" i="2"/>
  <c r="AY25" i="2"/>
  <c r="AY29" i="2"/>
  <c r="AY28" i="2"/>
  <c r="AY32" i="2"/>
  <c r="AY31" i="2"/>
  <c r="AY36" i="2"/>
  <c r="AY35" i="2"/>
  <c r="AS5" i="2" l="1"/>
  <c r="AS7" i="2"/>
  <c r="AS15" i="2"/>
  <c r="AS14" i="2" s="1"/>
  <c r="AS4" i="2"/>
  <c r="AY5" i="2"/>
  <c r="AY6" i="2"/>
  <c r="AY7" i="2"/>
  <c r="AY8" i="2"/>
  <c r="AY15" i="2"/>
  <c r="AY4" i="2"/>
  <c r="AT13" i="2" l="1"/>
  <c r="AT16" i="2"/>
  <c r="AT15" i="2"/>
  <c r="AT7" i="2"/>
  <c r="AT4" i="2"/>
  <c r="AT5" i="2"/>
  <c r="BC7" i="2"/>
  <c r="BN4" i="2"/>
  <c r="BC5" i="2"/>
  <c r="BC15" i="2"/>
  <c r="BN15" i="2"/>
  <c r="BN5" i="2"/>
  <c r="BN7" i="2"/>
  <c r="BC4" i="2"/>
  <c r="W21" i="2" l="1"/>
  <c r="AQ26" i="2" l="1"/>
  <c r="AK31" i="2" l="1"/>
  <c r="AL31" i="2" s="1"/>
  <c r="AK32" i="2"/>
  <c r="AL32" i="2" s="1"/>
  <c r="AK28" i="2"/>
  <c r="AL28" i="2" s="1"/>
  <c r="AK29" i="2"/>
  <c r="AL29" i="2" s="1"/>
  <c r="AK25" i="2"/>
  <c r="AL25" i="2" s="1"/>
  <c r="AK26" i="2"/>
  <c r="AK22" i="2"/>
  <c r="AL22" i="2" s="1"/>
  <c r="AK23" i="2"/>
  <c r="AL23" i="2" s="1"/>
  <c r="BF26" i="2" l="1"/>
  <c r="AL26" i="2"/>
  <c r="AO22" i="2"/>
  <c r="BF22" i="2"/>
  <c r="AO28" i="2"/>
  <c r="BF28" i="2"/>
  <c r="AO32" i="2"/>
  <c r="BF32" i="2"/>
  <c r="AO25" i="2"/>
  <c r="BF25" i="2"/>
  <c r="AO31" i="2"/>
  <c r="BF31" i="2"/>
  <c r="AO23" i="2"/>
  <c r="BF23" i="2"/>
  <c r="AO29" i="2"/>
  <c r="BF29" i="2"/>
  <c r="AR26" i="2"/>
  <c r="AS26" i="2"/>
  <c r="AR22" i="2"/>
  <c r="AN23" i="2"/>
  <c r="AN22" i="2"/>
  <c r="AN26" i="2"/>
  <c r="AN25" i="2"/>
  <c r="AN29" i="2"/>
  <c r="AN28" i="2"/>
  <c r="AN32" i="2"/>
  <c r="AN31" i="2"/>
  <c r="AM23" i="2"/>
  <c r="AM22" i="2"/>
  <c r="AM26" i="2"/>
  <c r="AM25" i="2"/>
  <c r="AM29" i="2"/>
  <c r="AM28" i="2"/>
  <c r="AM32" i="2"/>
  <c r="AM31" i="2"/>
  <c r="AK35" i="2"/>
  <c r="AL35" i="2" s="1"/>
  <c r="AK36" i="2"/>
  <c r="AK30" i="2"/>
  <c r="AK27" i="2"/>
  <c r="AK24" i="2"/>
  <c r="AK21" i="2"/>
  <c r="AK6" i="2"/>
  <c r="BF27" i="2" l="1"/>
  <c r="AL27" i="2"/>
  <c r="BF30" i="2"/>
  <c r="AL30" i="2"/>
  <c r="BF24" i="2"/>
  <c r="AL24" i="2"/>
  <c r="BF36" i="2"/>
  <c r="AL36" i="2"/>
  <c r="BF6" i="2"/>
  <c r="AL6" i="2"/>
  <c r="BF21" i="2"/>
  <c r="AL21" i="2"/>
  <c r="BF35" i="2"/>
  <c r="AQ22" i="2"/>
  <c r="BC26" i="2"/>
  <c r="AS23" i="2"/>
  <c r="AV23" i="2" s="1"/>
  <c r="BJ23" i="2"/>
  <c r="AS25" i="2"/>
  <c r="BJ25" i="2"/>
  <c r="AS28" i="2"/>
  <c r="BJ28" i="2"/>
  <c r="AS29" i="2"/>
  <c r="BJ29" i="2"/>
  <c r="AS31" i="2"/>
  <c r="BJ31" i="2"/>
  <c r="AS32" i="2"/>
  <c r="BJ32" i="2"/>
  <c r="AS22" i="2"/>
  <c r="BJ22" i="2"/>
  <c r="AQ29" i="2"/>
  <c r="AQ23" i="2"/>
  <c r="AQ31" i="2"/>
  <c r="AQ32" i="2"/>
  <c r="AR31" i="2"/>
  <c r="AR32" i="2"/>
  <c r="AR29" i="2"/>
  <c r="AO35" i="2"/>
  <c r="AR23" i="2"/>
  <c r="AQ28" i="2"/>
  <c r="AQ25" i="2"/>
  <c r="AO36" i="2"/>
  <c r="AR28" i="2"/>
  <c r="AR25" i="2"/>
  <c r="AV26" i="2"/>
  <c r="AM21" i="2"/>
  <c r="AK8" i="2"/>
  <c r="AK34" i="2"/>
  <c r="AL34" i="2" s="1"/>
  <c r="AM30" i="2"/>
  <c r="AM27" i="2"/>
  <c r="AM35" i="2"/>
  <c r="AM24" i="2"/>
  <c r="AM36" i="2"/>
  <c r="AI23" i="2"/>
  <c r="AI22" i="2"/>
  <c r="AI26" i="2"/>
  <c r="AI25" i="2"/>
  <c r="AI29" i="2"/>
  <c r="AI28" i="2"/>
  <c r="AI32" i="2"/>
  <c r="AI31" i="2"/>
  <c r="AG35" i="2"/>
  <c r="AG36" i="2"/>
  <c r="BB36" i="2" s="1"/>
  <c r="AG30" i="2"/>
  <c r="BB30" i="2" s="1"/>
  <c r="AG27" i="2"/>
  <c r="BB27" i="2" s="1"/>
  <c r="AG24" i="2"/>
  <c r="BB24" i="2" s="1"/>
  <c r="AG21" i="2"/>
  <c r="BB21" i="2" s="1"/>
  <c r="AG6" i="2"/>
  <c r="AH6" i="2" s="1"/>
  <c r="BF8" i="2" l="1"/>
  <c r="AL8" i="2"/>
  <c r="AK17" i="2"/>
  <c r="AL17" i="2" s="1"/>
  <c r="BB6" i="2"/>
  <c r="BC22" i="2"/>
  <c r="BN22" i="2"/>
  <c r="BC31" i="2"/>
  <c r="BC23" i="2"/>
  <c r="BN23" i="2"/>
  <c r="BC32" i="2"/>
  <c r="BC29" i="2"/>
  <c r="BC25" i="2"/>
  <c r="AV32" i="2"/>
  <c r="AV31" i="2"/>
  <c r="AV29" i="2"/>
  <c r="AQ36" i="2"/>
  <c r="BJ36" i="2"/>
  <c r="AR35" i="2"/>
  <c r="BJ35" i="2"/>
  <c r="AV22" i="2"/>
  <c r="AV25" i="2"/>
  <c r="BC28" i="2"/>
  <c r="AV28" i="2"/>
  <c r="BF34" i="2"/>
  <c r="AQ35" i="2"/>
  <c r="AR36" i="2"/>
  <c r="AI35" i="2"/>
  <c r="BB35" i="2"/>
  <c r="AI36" i="2"/>
  <c r="AG8" i="2"/>
  <c r="AG17" i="2" s="1"/>
  <c r="AH17" i="2" s="1"/>
  <c r="AS6" i="2"/>
  <c r="AS35" i="2"/>
  <c r="AN21" i="2"/>
  <c r="AO21" i="2"/>
  <c r="BJ21" i="2" s="1"/>
  <c r="AI24" i="2"/>
  <c r="AO24" i="2"/>
  <c r="AI27" i="2"/>
  <c r="AO27" i="2"/>
  <c r="AI30" i="2"/>
  <c r="AO30" i="2"/>
  <c r="AN24" i="2"/>
  <c r="AN30" i="2"/>
  <c r="AN35" i="2"/>
  <c r="AN36" i="2"/>
  <c r="AN27" i="2"/>
  <c r="AM34" i="2"/>
  <c r="AG34" i="2"/>
  <c r="AH37" i="2" s="1"/>
  <c r="AI21" i="2"/>
  <c r="AT6" i="2" l="1"/>
  <c r="AH8" i="2"/>
  <c r="BC6" i="2"/>
  <c r="BC35" i="2"/>
  <c r="AS30" i="2"/>
  <c r="AV30" i="2" s="1"/>
  <c r="BJ30" i="2"/>
  <c r="AS27" i="2"/>
  <c r="AV27" i="2" s="1"/>
  <c r="BJ27" i="2"/>
  <c r="AS24" i="2"/>
  <c r="AV24" i="2" s="1"/>
  <c r="BJ24" i="2"/>
  <c r="BB34" i="2"/>
  <c r="BN6" i="2"/>
  <c r="AS8" i="2"/>
  <c r="AS17" i="2" s="1"/>
  <c r="AT17" i="2" s="1"/>
  <c r="BB8" i="2"/>
  <c r="AV35" i="2"/>
  <c r="AQ21" i="2"/>
  <c r="AS21" i="2"/>
  <c r="AR27" i="2"/>
  <c r="AQ27" i="2"/>
  <c r="AN34" i="2"/>
  <c r="AO34" i="2"/>
  <c r="AP37" i="2" s="1"/>
  <c r="AR21" i="2"/>
  <c r="AQ30" i="2"/>
  <c r="AR30" i="2"/>
  <c r="AR24" i="2"/>
  <c r="AQ24" i="2"/>
  <c r="AH31" i="2"/>
  <c r="AH25" i="2"/>
  <c r="AH36" i="2"/>
  <c r="AH35" i="2"/>
  <c r="AH24" i="2"/>
  <c r="AH21" i="2"/>
  <c r="AH23" i="2"/>
  <c r="AH34" i="2"/>
  <c r="AH29" i="2"/>
  <c r="AH30" i="2"/>
  <c r="AH26" i="2"/>
  <c r="AI34" i="2"/>
  <c r="AH27" i="2"/>
  <c r="AH28" i="2"/>
  <c r="AH22" i="2"/>
  <c r="AH32" i="2"/>
  <c r="AT8" i="2" l="1"/>
  <c r="BC8" i="2"/>
  <c r="BC21" i="2"/>
  <c r="BN21" i="2"/>
  <c r="BC27" i="2"/>
  <c r="BC24" i="2"/>
  <c r="BC30" i="2"/>
  <c r="BJ34" i="2"/>
  <c r="BN8" i="2"/>
  <c r="AP21" i="2"/>
  <c r="AQ34" i="2"/>
  <c r="AS34" i="2"/>
  <c r="AV21" i="2"/>
  <c r="AP30" i="2"/>
  <c r="AP26" i="2"/>
  <c r="AP34" i="2"/>
  <c r="AP22" i="2"/>
  <c r="AP31" i="2"/>
  <c r="AP28" i="2"/>
  <c r="AP23" i="2"/>
  <c r="AP32" i="2"/>
  <c r="AP29" i="2"/>
  <c r="AP25" i="2"/>
  <c r="AP35" i="2"/>
  <c r="AP36" i="2"/>
  <c r="AP27" i="2"/>
  <c r="AP24" i="2"/>
  <c r="AR34" i="2"/>
  <c r="AS36" i="2" l="1"/>
  <c r="AT36" i="2" s="1"/>
  <c r="AT37" i="2"/>
  <c r="AT21" i="2"/>
  <c r="BC34" i="2"/>
  <c r="AT34" i="2"/>
  <c r="AV34" i="2"/>
  <c r="AT32" i="2"/>
  <c r="AT23" i="2"/>
  <c r="AT29" i="2"/>
  <c r="AT22" i="2"/>
  <c r="AT28" i="2"/>
  <c r="AT25" i="2"/>
  <c r="AT31" i="2"/>
  <c r="AT26" i="2"/>
  <c r="AT35" i="2"/>
  <c r="AT30" i="2"/>
  <c r="AT24" i="2"/>
  <c r="AT27" i="2"/>
  <c r="W23" i="2"/>
  <c r="W22" i="2"/>
  <c r="W24" i="2"/>
  <c r="W26" i="2"/>
  <c r="W25" i="2"/>
  <c r="W27" i="2"/>
  <c r="W29" i="2"/>
  <c r="W28" i="2"/>
  <c r="W30" i="2"/>
  <c r="W32" i="2"/>
  <c r="W31" i="2"/>
  <c r="W34" i="2"/>
  <c r="W36" i="2"/>
  <c r="W35" i="2"/>
  <c r="S23" i="2"/>
  <c r="S22" i="2"/>
  <c r="S24" i="2"/>
  <c r="S26" i="2"/>
  <c r="S25" i="2"/>
  <c r="S27" i="2"/>
  <c r="S29" i="2"/>
  <c r="S28" i="2"/>
  <c r="S30" i="2"/>
  <c r="S32" i="2"/>
  <c r="S31" i="2"/>
  <c r="S34" i="2"/>
  <c r="S36" i="2"/>
  <c r="S35" i="2"/>
  <c r="S21" i="2"/>
  <c r="O23" i="2"/>
  <c r="O22" i="2"/>
  <c r="O24" i="2"/>
  <c r="O26" i="2"/>
  <c r="O25" i="2"/>
  <c r="O27" i="2"/>
  <c r="O29" i="2"/>
  <c r="O28" i="2"/>
  <c r="O30" i="2"/>
  <c r="O32" i="2"/>
  <c r="O31" i="2"/>
  <c r="O34" i="2"/>
  <c r="O36" i="2"/>
  <c r="O35" i="2"/>
  <c r="O21" i="2"/>
  <c r="AQ5" i="2"/>
  <c r="AQ6" i="2"/>
  <c r="AQ7" i="2"/>
  <c r="AQ8" i="2"/>
  <c r="AQ15" i="2"/>
  <c r="AQ4" i="2"/>
  <c r="AM5" i="2"/>
  <c r="AM6" i="2"/>
  <c r="AM7" i="2"/>
  <c r="AM8" i="2"/>
  <c r="AM15" i="2"/>
  <c r="AM4" i="2"/>
  <c r="AI5" i="2"/>
  <c r="AI6" i="2"/>
  <c r="AI7" i="2"/>
  <c r="AI8" i="2"/>
  <c r="AI15" i="2"/>
  <c r="AI4" i="2"/>
  <c r="AR15" i="2"/>
  <c r="AN15" i="2"/>
  <c r="AR8" i="2"/>
  <c r="AN8" i="2"/>
  <c r="AV7" i="2"/>
  <c r="AR7" i="2"/>
  <c r="AN7" i="2"/>
  <c r="AR6" i="2"/>
  <c r="AN6" i="2"/>
  <c r="AV5" i="2"/>
  <c r="AR5" i="2"/>
  <c r="AN5" i="2"/>
  <c r="AV4" i="2"/>
  <c r="AR4" i="2"/>
  <c r="AN4" i="2"/>
  <c r="AV36" i="2" l="1"/>
  <c r="BC36" i="2"/>
  <c r="AV15" i="2"/>
  <c r="AV6" i="2"/>
  <c r="AV8" i="2"/>
  <c r="J15" i="2" l="1"/>
  <c r="K5" i="2"/>
  <c r="K6" i="2"/>
  <c r="K7" i="2"/>
  <c r="K8" i="2"/>
  <c r="K4" i="2"/>
  <c r="AF4" i="2" l="1"/>
  <c r="L33" i="2"/>
  <c r="L4" i="2"/>
  <c r="M4" i="2"/>
  <c r="L37" i="2"/>
  <c r="L16" i="2"/>
  <c r="L13" i="2"/>
  <c r="K17" i="2"/>
  <c r="L17" i="2" s="1"/>
  <c r="M8" i="2"/>
  <c r="L8" i="2"/>
  <c r="AF7" i="2"/>
  <c r="L7" i="2"/>
  <c r="M7" i="2"/>
  <c r="M6" i="2"/>
  <c r="L6" i="2"/>
  <c r="AF5" i="2"/>
  <c r="M5" i="2"/>
  <c r="L5" i="2"/>
  <c r="K15" i="2"/>
  <c r="L15" i="2" s="1"/>
  <c r="AF8" i="2"/>
  <c r="AF6" i="2"/>
  <c r="Z26" i="2"/>
  <c r="Z28" i="2"/>
  <c r="AJ28" i="2" l="1"/>
  <c r="AU28" i="2"/>
  <c r="AJ26" i="2"/>
  <c r="AU26" i="2"/>
  <c r="Z32" i="2"/>
  <c r="AU32" i="2" s="1"/>
  <c r="Z31" i="2"/>
  <c r="AD21" i="2"/>
  <c r="AY21" i="2" s="1"/>
  <c r="Z22" i="2"/>
  <c r="AD27" i="2"/>
  <c r="AY27" i="2" s="1"/>
  <c r="AD30" i="2"/>
  <c r="AY30" i="2" s="1"/>
  <c r="Z29" i="2"/>
  <c r="Z23" i="2"/>
  <c r="AD24" i="2"/>
  <c r="AY24" i="2" s="1"/>
  <c r="Z25" i="2"/>
  <c r="AC28" i="2"/>
  <c r="AC26" i="2"/>
  <c r="AA8" i="2" l="1"/>
  <c r="AA6" i="2"/>
  <c r="AA5" i="2"/>
  <c r="AA7" i="2"/>
  <c r="AA15" i="2"/>
  <c r="AA4" i="2"/>
  <c r="AJ8" i="2"/>
  <c r="AJ5" i="2"/>
  <c r="AJ4" i="2"/>
  <c r="AJ7" i="2"/>
  <c r="AJ6" i="2"/>
  <c r="AU22" i="2"/>
  <c r="AJ29" i="2"/>
  <c r="AU29" i="2"/>
  <c r="AJ23" i="2"/>
  <c r="AU23" i="2"/>
  <c r="AJ25" i="2"/>
  <c r="AU25" i="2"/>
  <c r="AJ31" i="2"/>
  <c r="AU31" i="2"/>
  <c r="AU15" i="2"/>
  <c r="AJ15" i="2"/>
  <c r="AC22" i="2"/>
  <c r="AJ22" i="2"/>
  <c r="AC32" i="2"/>
  <c r="AJ32" i="2"/>
  <c r="AC25" i="2"/>
  <c r="AC7" i="2"/>
  <c r="AU7" i="2"/>
  <c r="AB6" i="2"/>
  <c r="AU6" i="2"/>
  <c r="AC29" i="2"/>
  <c r="AC5" i="2"/>
  <c r="AU5" i="2"/>
  <c r="AB4" i="2"/>
  <c r="AU4" i="2"/>
  <c r="AB8" i="2"/>
  <c r="AU8" i="2"/>
  <c r="AC23" i="2"/>
  <c r="AC31" i="2"/>
  <c r="Z24" i="2"/>
  <c r="Z35" i="2"/>
  <c r="AC6" i="2"/>
  <c r="Z27" i="2"/>
  <c r="Z30" i="2"/>
  <c r="Z21" i="2"/>
  <c r="AD34" i="2"/>
  <c r="AE37" i="2" s="1"/>
  <c r="Z36" i="2"/>
  <c r="AB5" i="2"/>
  <c r="AB7" i="2"/>
  <c r="AC4" i="2"/>
  <c r="AC8" i="2"/>
  <c r="AC15" i="2"/>
  <c r="J27" i="2"/>
  <c r="J24" i="2"/>
  <c r="J21" i="2"/>
  <c r="J35" i="2"/>
  <c r="J36" i="2"/>
  <c r="J34" i="2"/>
  <c r="J31" i="2"/>
  <c r="J32" i="2"/>
  <c r="J28" i="2"/>
  <c r="J29" i="2"/>
  <c r="J25" i="2"/>
  <c r="J26" i="2"/>
  <c r="J22" i="2"/>
  <c r="J23" i="2"/>
  <c r="F15" i="2"/>
  <c r="F8" i="2"/>
  <c r="D8" i="2"/>
  <c r="F7" i="2"/>
  <c r="D7" i="2"/>
  <c r="F6" i="2"/>
  <c r="D6" i="2"/>
  <c r="F5" i="2"/>
  <c r="D5" i="2"/>
  <c r="F4" i="2"/>
  <c r="D4" i="2"/>
  <c r="P35" i="2"/>
  <c r="X31" i="2"/>
  <c r="U31" i="2"/>
  <c r="U30" i="2"/>
  <c r="T30" i="2"/>
  <c r="U27" i="2"/>
  <c r="U24" i="2"/>
  <c r="T24" i="2"/>
  <c r="U22" i="2"/>
  <c r="U23" i="2"/>
  <c r="U21" i="2"/>
  <c r="T21" i="2"/>
  <c r="Y15" i="2"/>
  <c r="U15" i="2"/>
  <c r="T15" i="2"/>
  <c r="X15" i="2"/>
  <c r="Y8" i="2"/>
  <c r="U8" i="2"/>
  <c r="Y7" i="2"/>
  <c r="Y6" i="2"/>
  <c r="X6" i="2"/>
  <c r="T6" i="2"/>
  <c r="U6" i="2"/>
  <c r="X5" i="2"/>
  <c r="U4" i="2"/>
  <c r="J30" i="2" l="1"/>
  <c r="AJ36" i="2"/>
  <c r="AU36" i="2"/>
  <c r="AJ27" i="2"/>
  <c r="AU27" i="2"/>
  <c r="AE35" i="2"/>
  <c r="AY34" i="2"/>
  <c r="AJ21" i="2"/>
  <c r="AU21" i="2"/>
  <c r="AJ35" i="2"/>
  <c r="AU35" i="2"/>
  <c r="AJ30" i="2"/>
  <c r="AU30" i="2"/>
  <c r="AJ24" i="2"/>
  <c r="AU24" i="2"/>
  <c r="AE30" i="2"/>
  <c r="AE36" i="2"/>
  <c r="AC35" i="2"/>
  <c r="AC30" i="2"/>
  <c r="AC24" i="2"/>
  <c r="AE21" i="2"/>
  <c r="AC21" i="2"/>
  <c r="AC36" i="2"/>
  <c r="AC27" i="2"/>
  <c r="AE23" i="2"/>
  <c r="AE28" i="2"/>
  <c r="AE34" i="2"/>
  <c r="AE26" i="2"/>
  <c r="AE29" i="2"/>
  <c r="AE25" i="2"/>
  <c r="AE22" i="2"/>
  <c r="AE32" i="2"/>
  <c r="AE31" i="2"/>
  <c r="AE24" i="2"/>
  <c r="AE27" i="2"/>
  <c r="AB36" i="2"/>
  <c r="K36" i="2"/>
  <c r="AB32" i="2"/>
  <c r="K32" i="2"/>
  <c r="AB23" i="2"/>
  <c r="K23" i="2"/>
  <c r="L23" i="2" s="1"/>
  <c r="AB29" i="2"/>
  <c r="K29" i="2"/>
  <c r="AB21" i="2"/>
  <c r="K21" i="2"/>
  <c r="AB22" i="2"/>
  <c r="K22" i="2"/>
  <c r="L22" i="2" s="1"/>
  <c r="AB28" i="2"/>
  <c r="K28" i="2"/>
  <c r="L28" i="2" s="1"/>
  <c r="K34" i="2"/>
  <c r="L34" i="2" s="1"/>
  <c r="AB24" i="2"/>
  <c r="K24" i="2"/>
  <c r="L24" i="2" s="1"/>
  <c r="AB26" i="2"/>
  <c r="K26" i="2"/>
  <c r="AB27" i="2"/>
  <c r="K27" i="2"/>
  <c r="AB25" i="2"/>
  <c r="K25" i="2"/>
  <c r="AB35" i="2"/>
  <c r="K35" i="2"/>
  <c r="L35" i="2" s="1"/>
  <c r="AB31" i="2"/>
  <c r="K31" i="2"/>
  <c r="Z34" i="2"/>
  <c r="AA37" i="2" s="1"/>
  <c r="Y31" i="2"/>
  <c r="T31" i="2"/>
  <c r="X32" i="2"/>
  <c r="Y32" i="2"/>
  <c r="T32" i="2"/>
  <c r="U32" i="2"/>
  <c r="T22" i="2"/>
  <c r="Y22" i="2"/>
  <c r="T23" i="2"/>
  <c r="X23" i="2"/>
  <c r="U34" i="2"/>
  <c r="X28" i="2"/>
  <c r="Y28" i="2"/>
  <c r="X29" i="2"/>
  <c r="Y29" i="2"/>
  <c r="X35" i="2"/>
  <c r="Y35" i="2"/>
  <c r="Y21" i="2"/>
  <c r="X21" i="2"/>
  <c r="X36" i="2"/>
  <c r="Y36" i="2"/>
  <c r="Y26" i="2"/>
  <c r="X26" i="2"/>
  <c r="X25" i="2"/>
  <c r="Y25" i="2"/>
  <c r="Y5" i="2"/>
  <c r="X22" i="2"/>
  <c r="T26" i="2"/>
  <c r="T25" i="2"/>
  <c r="T27" i="2"/>
  <c r="T29" i="2"/>
  <c r="T28" i="2"/>
  <c r="T36" i="2"/>
  <c r="T35" i="2"/>
  <c r="T8" i="2"/>
  <c r="X4" i="2"/>
  <c r="T5" i="2"/>
  <c r="X7" i="2"/>
  <c r="Y23" i="2"/>
  <c r="U26" i="2"/>
  <c r="U25" i="2"/>
  <c r="U29" i="2"/>
  <c r="U28" i="2"/>
  <c r="U36" i="2"/>
  <c r="U35" i="2"/>
  <c r="T4" i="2"/>
  <c r="Y4" i="2"/>
  <c r="AF32" i="2" l="1"/>
  <c r="L32" i="2"/>
  <c r="AF31" i="2"/>
  <c r="L31" i="2"/>
  <c r="AF26" i="2"/>
  <c r="L26" i="2"/>
  <c r="AF21" i="2"/>
  <c r="L21" i="2"/>
  <c r="AF36" i="2"/>
  <c r="L36" i="2"/>
  <c r="AF27" i="2"/>
  <c r="L27" i="2"/>
  <c r="AF29" i="2"/>
  <c r="L29" i="2"/>
  <c r="AF25" i="2"/>
  <c r="L25" i="2"/>
  <c r="AF28" i="2"/>
  <c r="AF35" i="2"/>
  <c r="AF24" i="2"/>
  <c r="AF23" i="2"/>
  <c r="AB30" i="2"/>
  <c r="AF22" i="2"/>
  <c r="K30" i="2"/>
  <c r="AU34" i="2"/>
  <c r="AF34" i="2"/>
  <c r="AA36" i="2"/>
  <c r="AJ34" i="2"/>
  <c r="AA30" i="2"/>
  <c r="AC34" i="2"/>
  <c r="AA34" i="2"/>
  <c r="AA28" i="2"/>
  <c r="AA26" i="2"/>
  <c r="AA22" i="2"/>
  <c r="AA32" i="2"/>
  <c r="AA31" i="2"/>
  <c r="AA25" i="2"/>
  <c r="AA29" i="2"/>
  <c r="AA23" i="2"/>
  <c r="AA24" i="2"/>
  <c r="AA35" i="2"/>
  <c r="AA27" i="2"/>
  <c r="AA21" i="2"/>
  <c r="AB34" i="2"/>
  <c r="T34" i="2"/>
  <c r="X30" i="2"/>
  <c r="Y30" i="2"/>
  <c r="X24" i="2"/>
  <c r="Y24" i="2"/>
  <c r="X8" i="2"/>
  <c r="X27" i="2"/>
  <c r="Y27" i="2"/>
  <c r="T7" i="2"/>
  <c r="U7" i="2"/>
  <c r="U5" i="2"/>
  <c r="AF30" i="2" l="1"/>
  <c r="L30" i="2"/>
  <c r="Y34" i="2"/>
  <c r="X34" i="2"/>
  <c r="BR25" i="2" l="1"/>
  <c r="BL25" i="2"/>
  <c r="BN25" i="2" l="1"/>
  <c r="BV25" i="2"/>
  <c r="CG25" i="2"/>
  <c r="BO25" i="2"/>
  <c r="BR26" i="2"/>
  <c r="BL26" i="2"/>
  <c r="BP24" i="2"/>
  <c r="BR24" i="2" l="1"/>
  <c r="CK24" i="2"/>
  <c r="BO26" i="2"/>
  <c r="BV26" i="2"/>
  <c r="CG26" i="2"/>
  <c r="BL24" i="2"/>
  <c r="BN26" i="2"/>
  <c r="BV24" i="2" l="1"/>
  <c r="CG24" i="2"/>
  <c r="BN24" i="2"/>
  <c r="BO24" i="2"/>
  <c r="BR28" i="2"/>
  <c r="BL28" i="2"/>
  <c r="BN28" i="2" l="1"/>
  <c r="BV28" i="2"/>
  <c r="CG28" i="2"/>
  <c r="BO28" i="2"/>
  <c r="BR29" i="2"/>
  <c r="BL29" i="2"/>
  <c r="BP27" i="2"/>
  <c r="BR27" i="2" l="1"/>
  <c r="CK27" i="2"/>
  <c r="BV29" i="2"/>
  <c r="CG29" i="2"/>
  <c r="BL27" i="2"/>
  <c r="BN29" i="2"/>
  <c r="BO29" i="2"/>
  <c r="BR31" i="2"/>
  <c r="BP35" i="2"/>
  <c r="CK35" i="2" s="1"/>
  <c r="BL31" i="2"/>
  <c r="BO27" i="2" l="1"/>
  <c r="BV27" i="2"/>
  <c r="CG27" i="2"/>
  <c r="BN27" i="2"/>
  <c r="BV31" i="2"/>
  <c r="CG31" i="2"/>
  <c r="BO31" i="2"/>
  <c r="BN31" i="2"/>
  <c r="BR35" i="2"/>
  <c r="BL35" i="2"/>
  <c r="BV35" i="2" l="1"/>
  <c r="CG35" i="2"/>
  <c r="BO35" i="2"/>
  <c r="BN35" i="2"/>
  <c r="BR32" i="2"/>
  <c r="BP36" i="2"/>
  <c r="BL32" i="2"/>
  <c r="BP30" i="2"/>
  <c r="BP34" i="2" l="1"/>
  <c r="CK36" i="2"/>
  <c r="BR30" i="2"/>
  <c r="CK30" i="2"/>
  <c r="BO32" i="2"/>
  <c r="BV32" i="2"/>
  <c r="CG32" i="2"/>
  <c r="BR36" i="2"/>
  <c r="BN32" i="2"/>
  <c r="BL36" i="2"/>
  <c r="BL30" i="2"/>
  <c r="BQ24" i="2" l="1"/>
  <c r="BQ37" i="2"/>
  <c r="BQ27" i="2"/>
  <c r="BQ25" i="2"/>
  <c r="BQ34" i="2"/>
  <c r="BQ23" i="2"/>
  <c r="BQ35" i="2"/>
  <c r="BQ36" i="2"/>
  <c r="BQ26" i="2"/>
  <c r="BQ29" i="2"/>
  <c r="BQ21" i="2"/>
  <c r="BR34" i="2"/>
  <c r="BQ22" i="2"/>
  <c r="CK34" i="2"/>
  <c r="BQ31" i="2"/>
  <c r="BQ28" i="2"/>
  <c r="BQ32" i="2"/>
  <c r="BQ30" i="2"/>
  <c r="BV30" i="2"/>
  <c r="CG30" i="2"/>
  <c r="BV36" i="2"/>
  <c r="CG36" i="2"/>
  <c r="BN36" i="2"/>
  <c r="BL34" i="2"/>
  <c r="BM37" i="2" s="1"/>
  <c r="BO36" i="2"/>
  <c r="BO30" i="2"/>
  <c r="BN30" i="2"/>
  <c r="BV34" i="2" l="1"/>
  <c r="BM34" i="2"/>
  <c r="CG34" i="2"/>
  <c r="BM22" i="2"/>
  <c r="BM23" i="2"/>
  <c r="BM21" i="2"/>
  <c r="BM25" i="2"/>
  <c r="BM26" i="2"/>
  <c r="BM24" i="2"/>
  <c r="BM28" i="2"/>
  <c r="BM29" i="2"/>
  <c r="BM27" i="2"/>
  <c r="BM31" i="2"/>
  <c r="BM35" i="2"/>
  <c r="BM32" i="2"/>
  <c r="BM30" i="2"/>
  <c r="BM36" i="2"/>
  <c r="BN34" i="2"/>
  <c r="BO34" i="2"/>
</calcChain>
</file>

<file path=xl/sharedStrings.xml><?xml version="1.0" encoding="utf-8"?>
<sst xmlns="http://schemas.openxmlformats.org/spreadsheetml/2006/main" count="632" uniqueCount="264">
  <si>
    <t>1) Condensed I/S</t>
    <phoneticPr fontId="3" type="noConversion"/>
  </si>
  <si>
    <t>단위: 십억원(KRW billion)</t>
    <phoneticPr fontId="3" type="noConversion"/>
  </si>
  <si>
    <t>1Q17</t>
    <phoneticPr fontId="3" type="noConversion"/>
  </si>
  <si>
    <t>2Q17</t>
    <phoneticPr fontId="3" type="noConversion"/>
  </si>
  <si>
    <t>3Q17</t>
    <phoneticPr fontId="3" type="noConversion"/>
  </si>
  <si>
    <t>4Q17</t>
    <phoneticPr fontId="3" type="noConversion"/>
  </si>
  <si>
    <t>1Q18</t>
    <phoneticPr fontId="3" type="noConversion"/>
  </si>
  <si>
    <t>YoY</t>
    <phoneticPr fontId="3" type="noConversion"/>
  </si>
  <si>
    <t>2Q18</t>
    <phoneticPr fontId="3" type="noConversion"/>
  </si>
  <si>
    <t>QoQ</t>
    <phoneticPr fontId="3" type="noConversion"/>
  </si>
  <si>
    <t>3Q18</t>
    <phoneticPr fontId="3" type="noConversion"/>
  </si>
  <si>
    <t>4Q18</t>
    <phoneticPr fontId="3" type="noConversion"/>
  </si>
  <si>
    <t>1Q19</t>
    <phoneticPr fontId="3" type="noConversion"/>
  </si>
  <si>
    <t>2Q19</t>
    <phoneticPr fontId="3" type="noConversion"/>
  </si>
  <si>
    <t>3Q19</t>
    <phoneticPr fontId="3" type="noConversion"/>
  </si>
  <si>
    <t>4Q19</t>
    <phoneticPr fontId="3" type="noConversion"/>
  </si>
  <si>
    <t>yoy</t>
    <phoneticPr fontId="3" type="noConversion"/>
  </si>
  <si>
    <t>1Q20</t>
    <phoneticPr fontId="3" type="noConversion"/>
  </si>
  <si>
    <t>2Q20</t>
    <phoneticPr fontId="3" type="noConversion"/>
  </si>
  <si>
    <t>3Q20</t>
    <phoneticPr fontId="3" type="noConversion"/>
  </si>
  <si>
    <t>4Q20</t>
    <phoneticPr fontId="3" type="noConversion"/>
  </si>
  <si>
    <t>1Q21</t>
    <phoneticPr fontId="3" type="noConversion"/>
  </si>
  <si>
    <t>2Q21</t>
    <phoneticPr fontId="3" type="noConversion"/>
  </si>
  <si>
    <t>3Q21</t>
    <phoneticPr fontId="3" type="noConversion"/>
  </si>
  <si>
    <t>4Q21</t>
    <phoneticPr fontId="3" type="noConversion"/>
  </si>
  <si>
    <t>1Q22</t>
    <phoneticPr fontId="3" type="noConversion"/>
  </si>
  <si>
    <t>2Q22</t>
    <phoneticPr fontId="3" type="noConversion"/>
  </si>
  <si>
    <t>3Q22</t>
    <phoneticPr fontId="3" type="noConversion"/>
  </si>
  <si>
    <t>4Q22</t>
    <phoneticPr fontId="3" type="noConversion"/>
  </si>
  <si>
    <t>1Q23</t>
    <phoneticPr fontId="3" type="noConversion"/>
  </si>
  <si>
    <t>2Q23</t>
    <phoneticPr fontId="3" type="noConversion"/>
  </si>
  <si>
    <t>Sales</t>
    <phoneticPr fontId="3" type="noConversion"/>
  </si>
  <si>
    <t>-</t>
    <phoneticPr fontId="3" type="noConversion"/>
  </si>
  <si>
    <t>SG&amp;A</t>
    <phoneticPr fontId="3" type="noConversion"/>
  </si>
  <si>
    <t>TB</t>
    <phoneticPr fontId="3" type="noConversion"/>
  </si>
  <si>
    <t>DA</t>
    <phoneticPr fontId="3" type="noConversion"/>
  </si>
  <si>
    <t>EBITDA</t>
    <phoneticPr fontId="3" type="noConversion"/>
  </si>
  <si>
    <t>2) Sales by Brands</t>
    <phoneticPr fontId="3" type="noConversion"/>
  </si>
  <si>
    <t>proportion</t>
    <phoneticPr fontId="3" type="noConversion"/>
  </si>
  <si>
    <t>CLASSYS</t>
    <phoneticPr fontId="3" type="noConversion"/>
  </si>
  <si>
    <t>Export</t>
    <phoneticPr fontId="3" type="noConversion"/>
  </si>
  <si>
    <t>Domestic</t>
    <phoneticPr fontId="3" type="noConversion"/>
  </si>
  <si>
    <t>Cluederm</t>
    <phoneticPr fontId="3" type="noConversion"/>
  </si>
  <si>
    <t>Consumables</t>
    <phoneticPr fontId="3" type="noConversion"/>
  </si>
  <si>
    <t>Cosmetics</t>
    <phoneticPr fontId="3" type="noConversion"/>
  </si>
  <si>
    <t>Total</t>
    <phoneticPr fontId="3" type="noConversion"/>
  </si>
  <si>
    <t>Brazil</t>
    <phoneticPr fontId="3" type="noConversion"/>
  </si>
  <si>
    <t>unit: KRW</t>
    <phoneticPr fontId="3" type="noConversion"/>
  </si>
  <si>
    <t>06/30/2023</t>
    <phoneticPr fontId="3" type="noConversion"/>
  </si>
  <si>
    <t>QoQ</t>
  </si>
  <si>
    <t>03/31/2023</t>
    <phoneticPr fontId="3" type="noConversion"/>
  </si>
  <si>
    <t>12/31/2022</t>
    <phoneticPr fontId="3" type="noConversion"/>
  </si>
  <si>
    <t>09/30/2022</t>
    <phoneticPr fontId="3" type="noConversion"/>
  </si>
  <si>
    <t>06/30/2022</t>
    <phoneticPr fontId="3" type="noConversion"/>
  </si>
  <si>
    <t>03/31/2022</t>
    <phoneticPr fontId="3" type="noConversion"/>
  </si>
  <si>
    <t>12/31/2021</t>
    <phoneticPr fontId="3" type="noConversion"/>
  </si>
  <si>
    <t>09/30/2021</t>
    <phoneticPr fontId="3" type="noConversion"/>
  </si>
  <si>
    <t>06/30/2021</t>
    <phoneticPr fontId="3" type="noConversion"/>
  </si>
  <si>
    <t>03/31/2021</t>
    <phoneticPr fontId="3" type="noConversion"/>
  </si>
  <si>
    <t>12/31/2020</t>
    <phoneticPr fontId="3" type="noConversion"/>
  </si>
  <si>
    <t>09/30/2020</t>
    <phoneticPr fontId="3" type="noConversion"/>
  </si>
  <si>
    <t>06/30/2020</t>
    <phoneticPr fontId="3" type="noConversion"/>
  </si>
  <si>
    <t>03/31/2020</t>
    <phoneticPr fontId="3" type="noConversion"/>
  </si>
  <si>
    <t>FY 2022</t>
    <phoneticPr fontId="3" type="noConversion"/>
  </si>
  <si>
    <t>FY 2021</t>
    <phoneticPr fontId="3" type="noConversion"/>
  </si>
  <si>
    <t>FY 2020</t>
    <phoneticPr fontId="3" type="noConversion"/>
  </si>
  <si>
    <t>FY 2019</t>
    <phoneticPr fontId="3" type="noConversion"/>
  </si>
  <si>
    <t>FY 2018</t>
    <phoneticPr fontId="3" type="noConversion"/>
  </si>
  <si>
    <t>FY 2017</t>
    <phoneticPr fontId="3" type="noConversion"/>
  </si>
  <si>
    <t>FY 2016</t>
    <phoneticPr fontId="3" type="noConversion"/>
  </si>
  <si>
    <t>자산</t>
    <phoneticPr fontId="3" type="noConversion"/>
  </si>
  <si>
    <t>Total assets</t>
    <phoneticPr fontId="3" type="noConversion"/>
  </si>
  <si>
    <t>　유동자산</t>
  </si>
  <si>
    <t>Current assets</t>
    <phoneticPr fontId="3" type="noConversion"/>
  </si>
  <si>
    <t>　　현금및현금성자산</t>
    <phoneticPr fontId="3" type="noConversion"/>
  </si>
  <si>
    <t>　　단기금융상품</t>
  </si>
  <si>
    <t>　　당기손익-공정가치측정금융자산(유동)</t>
    <phoneticPr fontId="3" type="noConversion"/>
  </si>
  <si>
    <t>　　매출채권및기타채권</t>
  </si>
  <si>
    <t>　　재고자산</t>
    <phoneticPr fontId="3" type="noConversion"/>
  </si>
  <si>
    <t>Inventories</t>
    <phoneticPr fontId="3" type="noConversion"/>
  </si>
  <si>
    <t>　　기타금융자산</t>
    <phoneticPr fontId="3" type="noConversion"/>
  </si>
  <si>
    <t>　　기타유동자산</t>
    <phoneticPr fontId="3" type="noConversion"/>
  </si>
  <si>
    <t>Other current assets</t>
    <phoneticPr fontId="3" type="noConversion"/>
  </si>
  <si>
    <t>　　당기법인세자산</t>
  </si>
  <si>
    <t>Current tax assets</t>
    <phoneticPr fontId="3" type="noConversion"/>
  </si>
  <si>
    <t>　비유동자산</t>
    <phoneticPr fontId="3" type="noConversion"/>
  </si>
  <si>
    <t>Non-current assets</t>
    <phoneticPr fontId="3" type="noConversion"/>
  </si>
  <si>
    <t>　　장기금융상품</t>
  </si>
  <si>
    <t>Long-term financial instruments</t>
    <phoneticPr fontId="3" type="noConversion"/>
  </si>
  <si>
    <t>당기손익-공정가치측정금융자산(비유동)</t>
    <phoneticPr fontId="3" type="noConversion"/>
  </si>
  <si>
    <t>　　유형자산</t>
    <phoneticPr fontId="3" type="noConversion"/>
  </si>
  <si>
    <t>　　무형자산</t>
  </si>
  <si>
    <t>　   투자부동산</t>
    <phoneticPr fontId="3" type="noConversion"/>
  </si>
  <si>
    <t>　　기타비유동금융자산</t>
    <phoneticPr fontId="3" type="noConversion"/>
  </si>
  <si>
    <t>　　사용권자산</t>
    <phoneticPr fontId="3" type="noConversion"/>
  </si>
  <si>
    <t>Right-of-use assets</t>
    <phoneticPr fontId="3" type="noConversion"/>
  </si>
  <si>
    <t>　　이연법인세자산</t>
    <phoneticPr fontId="3" type="noConversion"/>
  </si>
  <si>
    <t>부채</t>
    <phoneticPr fontId="3" type="noConversion"/>
  </si>
  <si>
    <t>Liabilities</t>
    <phoneticPr fontId="3" type="noConversion"/>
  </si>
  <si>
    <t>　유동부채</t>
  </si>
  <si>
    <t>Current liabilities</t>
    <phoneticPr fontId="3" type="noConversion"/>
  </si>
  <si>
    <t>　　매입채무및기타채무</t>
    <phoneticPr fontId="3" type="noConversion"/>
  </si>
  <si>
    <t>　　당기법인세부채</t>
    <phoneticPr fontId="3" type="noConversion"/>
  </si>
  <si>
    <t>Current tax liabilities</t>
    <phoneticPr fontId="3" type="noConversion"/>
  </si>
  <si>
    <t>　　기타금융부채</t>
    <phoneticPr fontId="3" type="noConversion"/>
  </si>
  <si>
    <t>Other financial liabilities</t>
    <phoneticPr fontId="3" type="noConversion"/>
  </si>
  <si>
    <t>　　기타유동부채</t>
    <phoneticPr fontId="3" type="noConversion"/>
  </si>
  <si>
    <t>Other current liabilities</t>
    <phoneticPr fontId="3" type="noConversion"/>
  </si>
  <si>
    <t>　　충당부채</t>
  </si>
  <si>
    <t>Current provisions</t>
    <phoneticPr fontId="3" type="noConversion"/>
  </si>
  <si>
    <t>　　리스부채</t>
    <phoneticPr fontId="3" type="noConversion"/>
  </si>
  <si>
    <t>　비유동부채</t>
    <phoneticPr fontId="3" type="noConversion"/>
  </si>
  <si>
    <t>　　장기차입금</t>
    <phoneticPr fontId="3" type="noConversion"/>
  </si>
  <si>
    <t xml:space="preserve">     전환사채</t>
    <phoneticPr fontId="3" type="noConversion"/>
  </si>
  <si>
    <t>Convertible bonds</t>
    <phoneticPr fontId="3" type="noConversion"/>
  </si>
  <si>
    <t>　　기타비유동금융부채</t>
    <phoneticPr fontId="3" type="noConversion"/>
  </si>
  <si>
    <t>Other non-current financial liabilities</t>
    <phoneticPr fontId="3" type="noConversion"/>
  </si>
  <si>
    <t>　　파생상품부채</t>
    <phoneticPr fontId="3" type="noConversion"/>
  </si>
  <si>
    <t>Non-current derivative liabilities</t>
    <phoneticPr fontId="3" type="noConversion"/>
  </si>
  <si>
    <t>　　비유동리스부채</t>
    <phoneticPr fontId="3" type="noConversion"/>
  </si>
  <si>
    <t>Non-current lease liabilities</t>
    <phoneticPr fontId="3" type="noConversion"/>
  </si>
  <si>
    <t>　　이연법인세부채</t>
    <phoneticPr fontId="3" type="noConversion"/>
  </si>
  <si>
    <t>Deferred tax liabilities</t>
    <phoneticPr fontId="3" type="noConversion"/>
  </si>
  <si>
    <t>자본</t>
    <phoneticPr fontId="3" type="noConversion"/>
  </si>
  <si>
    <t>　지배기업소유주지분</t>
    <phoneticPr fontId="3" type="noConversion"/>
  </si>
  <si>
    <t>　　자본금</t>
    <phoneticPr fontId="3" type="noConversion"/>
  </si>
  <si>
    <t>Capital stock</t>
  </si>
  <si>
    <t>　　자본잉여금</t>
  </si>
  <si>
    <t>Capital surplus</t>
    <phoneticPr fontId="3" type="noConversion"/>
  </si>
  <si>
    <t>　　자본조정</t>
    <phoneticPr fontId="3" type="noConversion"/>
  </si>
  <si>
    <t>Capital adjustments</t>
  </si>
  <si>
    <t>　　기타포괄손익누계액</t>
    <phoneticPr fontId="3" type="noConversion"/>
  </si>
  <si>
    <t>　　이익잉여금</t>
    <phoneticPr fontId="3" type="noConversion"/>
  </si>
  <si>
    <t>Retained earnings</t>
    <phoneticPr fontId="3" type="noConversion"/>
  </si>
  <si>
    <t>　비지배지분</t>
  </si>
  <si>
    <t>Non-controlling interests</t>
    <phoneticPr fontId="3" type="noConversion"/>
  </si>
  <si>
    <t>자본과부채총계</t>
  </si>
  <si>
    <t>Total liabilities and shareholders’ equity</t>
  </si>
  <si>
    <t>(단위: 천원)</t>
    <phoneticPr fontId="3" type="noConversion"/>
  </si>
  <si>
    <t>unit: 1000KRW</t>
    <phoneticPr fontId="3" type="noConversion"/>
  </si>
  <si>
    <t>제품(순액)</t>
    <phoneticPr fontId="3" type="noConversion"/>
  </si>
  <si>
    <t>재공품</t>
    <phoneticPr fontId="3" type="noConversion"/>
  </si>
  <si>
    <t>원재료(순액)</t>
    <phoneticPr fontId="3" type="noConversion"/>
  </si>
  <si>
    <t>Raw materials</t>
    <phoneticPr fontId="3" type="noConversion"/>
  </si>
  <si>
    <t>상품</t>
    <phoneticPr fontId="3" type="noConversion"/>
  </si>
  <si>
    <t>Merchandise</t>
    <phoneticPr fontId="3" type="noConversion"/>
  </si>
  <si>
    <t>선급금</t>
    <phoneticPr fontId="3" type="noConversion"/>
  </si>
  <si>
    <t>선급비용</t>
    <phoneticPr fontId="3" type="noConversion"/>
  </si>
  <si>
    <t>부가세대급금</t>
    <phoneticPr fontId="3" type="noConversion"/>
  </si>
  <si>
    <t>Prepaid value added tax</t>
    <phoneticPr fontId="3" type="noConversion"/>
  </si>
  <si>
    <t>예수금</t>
    <phoneticPr fontId="3" type="noConversion"/>
  </si>
  <si>
    <t>Withholdings</t>
    <phoneticPr fontId="3" type="noConversion"/>
  </si>
  <si>
    <t>부가세예수금</t>
    <phoneticPr fontId="3" type="noConversion"/>
  </si>
  <si>
    <t>Value added tax withheld</t>
    <phoneticPr fontId="3" type="noConversion"/>
  </si>
  <si>
    <t>선수금</t>
    <phoneticPr fontId="3" type="noConversion"/>
  </si>
  <si>
    <t>Advance received</t>
    <phoneticPr fontId="3" type="noConversion"/>
  </si>
  <si>
    <t>유동성장기차입금</t>
    <phoneticPr fontId="3" type="noConversion"/>
  </si>
  <si>
    <t>1000KRW</t>
    <phoneticPr fontId="3" type="noConversion"/>
  </si>
  <si>
    <t>급여</t>
    <phoneticPr fontId="3" type="noConversion"/>
  </si>
  <si>
    <t>Salaries</t>
    <phoneticPr fontId="3" type="noConversion"/>
  </si>
  <si>
    <t>잡급</t>
  </si>
  <si>
    <t xml:space="preserve">Miscellaneous money </t>
    <phoneticPr fontId="3" type="noConversion"/>
  </si>
  <si>
    <t>퇴직급여</t>
    <phoneticPr fontId="3" type="noConversion"/>
  </si>
  <si>
    <t>Retirement benefits</t>
  </si>
  <si>
    <t>주식보상비용</t>
  </si>
  <si>
    <t>               79,815</t>
  </si>
  <si>
    <t>복리후생비</t>
    <phoneticPr fontId="3" type="noConversion"/>
  </si>
  <si>
    <t>여비교통비</t>
  </si>
  <si>
    <t>접대비</t>
    <phoneticPr fontId="3" type="noConversion"/>
  </si>
  <si>
    <t>통신비</t>
  </si>
  <si>
    <t>수도광열비</t>
  </si>
  <si>
    <t>세금과공과</t>
    <phoneticPr fontId="3" type="noConversion"/>
  </si>
  <si>
    <t>감가상각비</t>
    <phoneticPr fontId="3" type="noConversion"/>
  </si>
  <si>
    <t>Depreciation</t>
    <phoneticPr fontId="3" type="noConversion"/>
  </si>
  <si>
    <t>Rent</t>
    <phoneticPr fontId="3" type="noConversion"/>
  </si>
  <si>
    <t>수선비</t>
  </si>
  <si>
    <t>보험료</t>
  </si>
  <si>
    <t>차량유지비</t>
  </si>
  <si>
    <t>경상연구개발비</t>
    <phoneticPr fontId="3" type="noConversion"/>
  </si>
  <si>
    <t>운반비</t>
  </si>
  <si>
    <t>교육훈련비</t>
  </si>
  <si>
    <t>도서인쇄비</t>
  </si>
  <si>
    <t>사무용품비</t>
  </si>
  <si>
    <t>소모품비</t>
  </si>
  <si>
    <t>지급수수료</t>
  </si>
  <si>
    <t>광고선전비</t>
    <phoneticPr fontId="3" type="noConversion"/>
  </si>
  <si>
    <t>판매촉진비</t>
  </si>
  <si>
    <t>대손상각비</t>
  </si>
  <si>
    <t>수출제비용</t>
  </si>
  <si>
    <t>판매수수료</t>
  </si>
  <si>
    <t xml:space="preserve">Sales commissions </t>
  </si>
  <si>
    <t>무형고정자산상각</t>
  </si>
  <si>
    <t>견본비</t>
  </si>
  <si>
    <t>판매보증비</t>
  </si>
  <si>
    <t>Warranty expenses</t>
    <phoneticPr fontId="3" type="noConversion"/>
  </si>
  <si>
    <t>회의비</t>
    <phoneticPr fontId="3" type="noConversion"/>
  </si>
  <si>
    <t>합 계</t>
  </si>
  <si>
    <t>3Q23</t>
    <phoneticPr fontId="3" type="noConversion"/>
  </si>
  <si>
    <t>09/30/2023</t>
    <phoneticPr fontId="3" type="noConversion"/>
  </si>
  <si>
    <t>4Q23</t>
    <phoneticPr fontId="3" type="noConversion"/>
  </si>
  <si>
    <t>Others(Rental)</t>
    <phoneticPr fontId="3" type="noConversion"/>
  </si>
  <si>
    <t>Financial  Income</t>
  </si>
  <si>
    <t>Financial Expenses</t>
  </si>
  <si>
    <t>Other Income</t>
  </si>
  <si>
    <t>Other Expenses</t>
  </si>
  <si>
    <t>TR</t>
    <phoneticPr fontId="3" type="noConversion"/>
  </si>
  <si>
    <t>COGS</t>
    <phoneticPr fontId="3" type="noConversion"/>
  </si>
  <si>
    <t>Gross profit</t>
    <phoneticPr fontId="3" type="noConversion"/>
  </si>
  <si>
    <t>Operating profit</t>
    <phoneticPr fontId="3" type="noConversion"/>
  </si>
  <si>
    <t>Profit before income tax</t>
    <phoneticPr fontId="3" type="noConversion"/>
  </si>
  <si>
    <t>tax</t>
    <phoneticPr fontId="3" type="noConversion"/>
  </si>
  <si>
    <t>Net profit</t>
    <phoneticPr fontId="3" type="noConversion"/>
  </si>
  <si>
    <t>Compensation Expenses Associated With Stock Options</t>
    <phoneticPr fontId="3" type="noConversion"/>
  </si>
  <si>
    <t>Employee Benefits</t>
    <phoneticPr fontId="3" type="noConversion"/>
  </si>
  <si>
    <t>Traveling Expenses</t>
  </si>
  <si>
    <t>Communication Expenses</t>
    <phoneticPr fontId="3" type="noConversion"/>
  </si>
  <si>
    <t>Water, Light and Heating Expenses</t>
    <phoneticPr fontId="3" type="noConversion"/>
  </si>
  <si>
    <t>Taxes and Dues</t>
  </si>
  <si>
    <t>Repairs and Maintenance Expenses</t>
    <phoneticPr fontId="3" type="noConversion"/>
  </si>
  <si>
    <t>Insurance Premium</t>
    <phoneticPr fontId="3" type="noConversion"/>
  </si>
  <si>
    <t>Vehicle Maintenance Expenses</t>
  </si>
  <si>
    <t>Research &amp; Development</t>
  </si>
  <si>
    <t>지급임차료</t>
    <phoneticPr fontId="3" type="noConversion"/>
  </si>
  <si>
    <t>Transportation Expenses</t>
  </si>
  <si>
    <t>Entertainment</t>
  </si>
  <si>
    <t>Periodicals and Printing Expenses</t>
  </si>
  <si>
    <t>Training Expenses</t>
  </si>
  <si>
    <t>Office Expenses</t>
  </si>
  <si>
    <t>Supplies</t>
  </si>
  <si>
    <t>Sales Promotion Expenses</t>
  </si>
  <si>
    <t>Expenses of Allowance for Doubtful Accounts</t>
  </si>
  <si>
    <t>Export Expenses</t>
  </si>
  <si>
    <t>Amortization of Other Intangible Assets</t>
  </si>
  <si>
    <t>Sample Expenses</t>
    <phoneticPr fontId="3" type="noConversion"/>
  </si>
  <si>
    <t>Others</t>
    <phoneticPr fontId="3" type="noConversion"/>
  </si>
  <si>
    <t>Advertisement</t>
    <phoneticPr fontId="3" type="noConversion"/>
  </si>
  <si>
    <t>Commission</t>
    <phoneticPr fontId="3" type="noConversion"/>
  </si>
  <si>
    <t>Trade and Other Current Receivables</t>
  </si>
  <si>
    <t>Finished Goods</t>
    <phoneticPr fontId="3" type="noConversion"/>
  </si>
  <si>
    <t>Work in Process</t>
  </si>
  <si>
    <t>Financial Assets Measured at Fair Value Through Profit or Loss</t>
    <phoneticPr fontId="3" type="noConversion"/>
  </si>
  <si>
    <t>Short-Term Financial Instruments</t>
  </si>
  <si>
    <t>Other Current Assets</t>
  </si>
  <si>
    <t>Cash and Cash Equivalents</t>
  </si>
  <si>
    <t>Other Financial Assets</t>
  </si>
  <si>
    <t>Property, Plant and Equipment</t>
  </si>
  <si>
    <t>Intangible Assets</t>
  </si>
  <si>
    <t>Investment in Properties</t>
  </si>
  <si>
    <t>Deferred Tax Assets</t>
  </si>
  <si>
    <t>Other Non-Current Financial Assets</t>
  </si>
  <si>
    <t>　　단기차입금</t>
    <phoneticPr fontId="3" type="noConversion"/>
  </si>
  <si>
    <t>Short-Term Borrowings</t>
  </si>
  <si>
    <t>Trade and Other Current Payables</t>
  </si>
  <si>
    <t>Other Current Liabilities</t>
  </si>
  <si>
    <t>Non-Current Liabilities</t>
  </si>
  <si>
    <t>Lease Obligations</t>
  </si>
  <si>
    <t>Long-Term Borrowings</t>
  </si>
  <si>
    <t>Stockholders' Equity</t>
  </si>
  <si>
    <t>Accumulated Other Comprehensive Income</t>
  </si>
  <si>
    <t>Owners of Parent Equity</t>
  </si>
  <si>
    <t>Advance Payments</t>
  </si>
  <si>
    <t>Prepaid Expenses</t>
  </si>
  <si>
    <t>Financial Assets Measured at Fair Value Through Profit or Loss(Non-Current )</t>
    <phoneticPr fontId="3" type="noConversion"/>
  </si>
  <si>
    <t>Current Portion of Long-Term Asset-Backed Debts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</si>
</sst>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76" formatCode="_-* #,##0.0_-;\-* #,##0.0_-;_-* &quot;-&quot;_-;_-@_-"/>
    <numFmt numFmtId="177" formatCode="_-* #,##0.0_-;\-* #,##0.0_-;_-* &quot;-&quot;??_-;_-@_-"/>
    <numFmt numFmtId="178" formatCode="0_ "/>
    <numFmt numFmtId="179" formatCode="#,##0_);[Red]\(#,##0\)"/>
    <numFmt numFmtId="180" formatCode="#,##0.00_);[Red]\(#,##0.00\)"/>
    <numFmt numFmtId="181" formatCode="#,##0.0_);[Red]\(#,##0.0\)"/>
    <numFmt numFmtId="182" formatCode="0.0%"/>
    <numFmt numFmtId="183" formatCode="0.0_);[Red]\(0.0\)"/>
    <numFmt numFmtId="184" formatCode="_-* #,##0.00_-;\-* #,##0.00_-;_-* &quot;-&quot;_-;_-@_-"/>
  </numFmts>
  <fonts count="2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 tint="0.249977111117893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rgb="FF0070C0"/>
      <name val="맑은 고딕"/>
      <family val="3"/>
      <charset val="129"/>
      <scheme val="minor"/>
    </font>
    <font>
      <sz val="9"/>
      <color theme="0"/>
      <name val="맑은 고딕"/>
      <family val="3"/>
      <charset val="129"/>
      <scheme val="minor"/>
    </font>
    <font>
      <i/>
      <sz val="9"/>
      <color theme="1" tint="0.499984740745262"/>
      <name val="맑은 고딕"/>
      <family val="3"/>
      <charset val="129"/>
      <scheme val="minor"/>
    </font>
    <font>
      <b/>
      <i/>
      <sz val="9"/>
      <color theme="1" tint="0.499984740745262"/>
      <name val="맑은 고딕"/>
      <family val="3"/>
      <charset val="129"/>
      <scheme val="minor"/>
    </font>
    <font>
      <b/>
      <sz val="9"/>
      <color theme="1" tint="0.499984740745262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theme="1" tint="0.249977111117893"/>
      <name val="맑은 고딕"/>
      <family val="3"/>
      <charset val="129"/>
      <scheme val="minor"/>
    </font>
    <font>
      <sz val="10"/>
      <color theme="1" tint="0.249977111117893"/>
      <name val="맑은 고딕"/>
      <family val="3"/>
      <charset val="129"/>
      <scheme val="minor"/>
    </font>
    <font>
      <b/>
      <sz val="9"/>
      <color rgb="FF0070C0"/>
      <name val="맑은 고딕"/>
      <family val="3"/>
      <charset val="129"/>
      <scheme val="minor"/>
    </font>
    <font>
      <b/>
      <sz val="9"/>
      <color theme="1" tint="0.249977111117893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indexed="64"/>
      </right>
      <top/>
      <bottom style="dotted">
        <color theme="1" tint="0.499984740745262"/>
      </bottom>
      <diagonal/>
    </border>
    <border>
      <left style="dotted">
        <color theme="1" tint="0.499984740745262"/>
      </left>
      <right style="thin">
        <color indexed="64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thin">
        <color indexed="64"/>
      </bottom>
      <diagonal/>
    </border>
    <border>
      <left style="dotted">
        <color theme="1" tint="0.499984740745262"/>
      </left>
      <right style="thin">
        <color indexed="64"/>
      </right>
      <top style="dotted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theme="1" tint="0.499984740745262"/>
      </bottom>
      <diagonal/>
    </border>
    <border>
      <left style="thin">
        <color indexed="64"/>
      </left>
      <right style="thin">
        <color indexed="64"/>
      </right>
      <top style="dotted">
        <color theme="1" tint="0.499984740745262"/>
      </top>
      <bottom style="dotted">
        <color theme="1" tint="0.499984740745262"/>
      </bottom>
      <diagonal/>
    </border>
    <border>
      <left style="thin">
        <color indexed="64"/>
      </left>
      <right style="thin">
        <color indexed="64"/>
      </right>
      <top style="dotted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theme="1" tint="0.499984740745262"/>
      </bottom>
      <diagonal/>
    </border>
    <border>
      <left/>
      <right style="thin">
        <color indexed="64"/>
      </right>
      <top style="dotted">
        <color theme="1" tint="0.499984740745262"/>
      </top>
      <bottom style="dotted">
        <color theme="1" tint="0.499984740745262"/>
      </bottom>
      <diagonal/>
    </border>
    <border>
      <left/>
      <right style="thin">
        <color indexed="64"/>
      </right>
      <top style="dotted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7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9" fontId="5" fillId="0" borderId="0" xfId="1" applyFont="1" applyBorder="1" applyAlignment="1">
      <alignment horizontal="right" vertical="center"/>
    </xf>
    <xf numFmtId="9" fontId="5" fillId="0" borderId="0" xfId="1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2" borderId="0" xfId="0" applyFont="1" applyFill="1">
      <alignment vertical="center"/>
    </xf>
    <xf numFmtId="0" fontId="4" fillId="0" borderId="6" xfId="0" applyFont="1" applyBorder="1" applyAlignment="1">
      <alignment horizontal="left" vertical="center"/>
    </xf>
    <xf numFmtId="0" fontId="10" fillId="3" borderId="7" xfId="0" applyFont="1" applyFill="1" applyBorder="1" applyAlignment="1">
      <alignment horizontal="center" vertical="center"/>
    </xf>
    <xf numFmtId="176" fontId="14" fillId="0" borderId="0" xfId="2" applyNumberFormat="1" applyFont="1">
      <alignment vertical="center"/>
    </xf>
    <xf numFmtId="0" fontId="14" fillId="0" borderId="0" xfId="0" applyFont="1">
      <alignment vertical="center"/>
    </xf>
    <xf numFmtId="9" fontId="18" fillId="0" borderId="8" xfId="1" applyFont="1" applyFill="1" applyBorder="1">
      <alignment vertical="center"/>
    </xf>
    <xf numFmtId="0" fontId="2" fillId="0" borderId="1" xfId="0" applyFont="1" applyBorder="1">
      <alignment vertical="center"/>
    </xf>
    <xf numFmtId="41" fontId="4" fillId="0" borderId="0" xfId="2" applyFont="1" applyAlignment="1">
      <alignment horizontal="right" vertical="center"/>
    </xf>
    <xf numFmtId="9" fontId="4" fillId="0" borderId="0" xfId="1" applyFont="1">
      <alignment vertical="center"/>
    </xf>
    <xf numFmtId="0" fontId="4" fillId="0" borderId="0" xfId="0" applyFont="1">
      <alignment vertical="center"/>
    </xf>
    <xf numFmtId="3" fontId="4" fillId="0" borderId="0" xfId="0" applyNumberFormat="1" applyFont="1">
      <alignment vertical="center"/>
    </xf>
    <xf numFmtId="9" fontId="2" fillId="0" borderId="4" xfId="1" applyFont="1" applyBorder="1" applyAlignment="1">
      <alignment horizontal="right" vertical="center"/>
    </xf>
    <xf numFmtId="41" fontId="2" fillId="0" borderId="4" xfId="2" applyFont="1" applyBorder="1" applyAlignment="1">
      <alignment horizontal="right" vertical="center"/>
    </xf>
    <xf numFmtId="41" fontId="2" fillId="0" borderId="3" xfId="2" applyFont="1" applyBorder="1" applyAlignment="1">
      <alignment horizontal="right" vertical="center"/>
    </xf>
    <xf numFmtId="9" fontId="4" fillId="0" borderId="9" xfId="1" applyFont="1" applyBorder="1">
      <alignment vertical="center"/>
    </xf>
    <xf numFmtId="41" fontId="4" fillId="0" borderId="9" xfId="2" applyFont="1" applyBorder="1" applyAlignment="1">
      <alignment horizontal="right" vertical="center"/>
    </xf>
    <xf numFmtId="9" fontId="4" fillId="0" borderId="10" xfId="1" applyFont="1" applyBorder="1">
      <alignment vertical="center"/>
    </xf>
    <xf numFmtId="9" fontId="4" fillId="0" borderId="12" xfId="1" applyFont="1" applyBorder="1">
      <alignment vertical="center"/>
    </xf>
    <xf numFmtId="41" fontId="4" fillId="0" borderId="12" xfId="2" applyFont="1" applyBorder="1" applyAlignment="1">
      <alignment horizontal="right" vertical="center"/>
    </xf>
    <xf numFmtId="41" fontId="2" fillId="0" borderId="1" xfId="2" applyFont="1" applyBorder="1">
      <alignment vertical="center"/>
    </xf>
    <xf numFmtId="0" fontId="4" fillId="4" borderId="15" xfId="0" applyFont="1" applyFill="1" applyBorder="1">
      <alignment vertical="center"/>
    </xf>
    <xf numFmtId="41" fontId="4" fillId="4" borderId="15" xfId="2" applyFont="1" applyFill="1" applyBorder="1">
      <alignment vertical="center"/>
    </xf>
    <xf numFmtId="178" fontId="4" fillId="0" borderId="0" xfId="2" applyNumberFormat="1" applyFont="1" applyAlignment="1" applyProtection="1">
      <alignment horizontal="right" vertical="center"/>
      <protection locked="0"/>
    </xf>
    <xf numFmtId="0" fontId="4" fillId="4" borderId="16" xfId="0" applyFont="1" applyFill="1" applyBorder="1">
      <alignment vertical="center"/>
    </xf>
    <xf numFmtId="41" fontId="4" fillId="4" borderId="16" xfId="2" applyFont="1" applyFill="1" applyBorder="1">
      <alignment vertical="center"/>
    </xf>
    <xf numFmtId="41" fontId="4" fillId="4" borderId="16" xfId="2" applyFont="1" applyFill="1" applyBorder="1" applyAlignment="1">
      <alignment vertical="center"/>
    </xf>
    <xf numFmtId="0" fontId="4" fillId="4" borderId="17" xfId="0" applyFont="1" applyFill="1" applyBorder="1">
      <alignment vertical="center"/>
    </xf>
    <xf numFmtId="41" fontId="4" fillId="4" borderId="17" xfId="2" applyFont="1" applyFill="1" applyBorder="1">
      <alignment vertical="center"/>
    </xf>
    <xf numFmtId="41" fontId="4" fillId="0" borderId="0" xfId="2" applyFont="1">
      <alignment vertical="center"/>
    </xf>
    <xf numFmtId="41" fontId="4" fillId="0" borderId="0" xfId="0" applyNumberFormat="1" applyFont="1">
      <alignment vertical="center"/>
    </xf>
    <xf numFmtId="9" fontId="18" fillId="0" borderId="21" xfId="1" applyFont="1" applyFill="1" applyBorder="1">
      <alignment vertical="center"/>
    </xf>
    <xf numFmtId="0" fontId="14" fillId="0" borderId="23" xfId="0" applyFont="1" applyBorder="1" applyAlignment="1">
      <alignment horizontal="center" vertical="center"/>
    </xf>
    <xf numFmtId="176" fontId="17" fillId="0" borderId="8" xfId="2" applyNumberFormat="1" applyFont="1" applyFill="1" applyBorder="1" applyAlignment="1">
      <alignment horizontal="right" vertical="center"/>
    </xf>
    <xf numFmtId="9" fontId="14" fillId="0" borderId="8" xfId="1" applyFont="1" applyFill="1" applyBorder="1">
      <alignment vertical="center"/>
    </xf>
    <xf numFmtId="9" fontId="15" fillId="0" borderId="8" xfId="1" applyFont="1" applyFill="1" applyBorder="1" applyAlignment="1">
      <alignment horizontal="right" vertical="center"/>
    </xf>
    <xf numFmtId="0" fontId="5" fillId="2" borderId="24" xfId="0" applyFont="1" applyFill="1" applyBorder="1" applyAlignment="1">
      <alignment horizontal="center" vertical="center"/>
    </xf>
    <xf numFmtId="176" fontId="5" fillId="2" borderId="21" xfId="2" applyNumberFormat="1" applyFont="1" applyFill="1" applyBorder="1" applyAlignment="1">
      <alignment horizontal="right" vertical="center"/>
    </xf>
    <xf numFmtId="0" fontId="14" fillId="0" borderId="24" xfId="0" applyFont="1" applyBorder="1" applyAlignment="1">
      <alignment horizontal="center" vertical="center"/>
    </xf>
    <xf numFmtId="176" fontId="17" fillId="0" borderId="21" xfId="2" applyNumberFormat="1" applyFont="1" applyFill="1" applyBorder="1" applyAlignment="1">
      <alignment horizontal="right" vertical="center"/>
    </xf>
    <xf numFmtId="9" fontId="14" fillId="0" borderId="21" xfId="1" applyFont="1" applyFill="1" applyBorder="1">
      <alignment vertical="center"/>
    </xf>
    <xf numFmtId="9" fontId="15" fillId="0" borderId="21" xfId="1" applyFont="1" applyFill="1" applyBorder="1" applyAlignment="1">
      <alignment horizontal="right" vertical="center"/>
    </xf>
    <xf numFmtId="176" fontId="7" fillId="2" borderId="22" xfId="2" applyNumberFormat="1" applyFont="1" applyFill="1" applyBorder="1" applyAlignment="1">
      <alignment horizontal="right" vertical="center"/>
    </xf>
    <xf numFmtId="0" fontId="10" fillId="3" borderId="25" xfId="0" applyFont="1" applyFill="1" applyBorder="1" applyAlignment="1">
      <alignment horizontal="center" vertical="center"/>
    </xf>
    <xf numFmtId="176" fontId="14" fillId="0" borderId="24" xfId="2" applyNumberFormat="1" applyFont="1" applyBorder="1" applyAlignment="1">
      <alignment horizontal="center" vertical="center"/>
    </xf>
    <xf numFmtId="176" fontId="14" fillId="0" borderId="21" xfId="2" applyNumberFormat="1" applyFont="1" applyBorder="1" applyAlignment="1">
      <alignment horizontal="right" vertical="center"/>
    </xf>
    <xf numFmtId="176" fontId="14" fillId="0" borderId="21" xfId="2" applyNumberFormat="1" applyFont="1" applyFill="1" applyBorder="1">
      <alignment vertical="center"/>
    </xf>
    <xf numFmtId="9" fontId="15" fillId="0" borderId="21" xfId="1" applyFont="1" applyFill="1" applyBorder="1">
      <alignment vertical="center"/>
    </xf>
    <xf numFmtId="177" fontId="14" fillId="0" borderId="21" xfId="0" applyNumberFormat="1" applyFont="1" applyBorder="1">
      <alignment vertical="center"/>
    </xf>
    <xf numFmtId="9" fontId="9" fillId="2" borderId="21" xfId="1" applyFont="1" applyFill="1" applyBorder="1" applyAlignment="1">
      <alignment horizontal="right" vertical="center"/>
    </xf>
    <xf numFmtId="9" fontId="4" fillId="2" borderId="21" xfId="1" applyFont="1" applyFill="1" applyBorder="1">
      <alignment vertical="center"/>
    </xf>
    <xf numFmtId="9" fontId="5" fillId="2" borderId="21" xfId="1" applyFont="1" applyFill="1" applyBorder="1">
      <alignment vertical="center"/>
    </xf>
    <xf numFmtId="9" fontId="9" fillId="2" borderId="22" xfId="1" applyFont="1" applyFill="1" applyBorder="1" applyAlignment="1">
      <alignment horizontal="right" vertical="center"/>
    </xf>
    <xf numFmtId="9" fontId="5" fillId="2" borderId="22" xfId="1" applyFont="1" applyFill="1" applyBorder="1">
      <alignment vertical="center"/>
    </xf>
    <xf numFmtId="9" fontId="4" fillId="0" borderId="9" xfId="1" applyFont="1" applyBorder="1" applyAlignment="1">
      <alignment horizontal="right" vertical="center"/>
    </xf>
    <xf numFmtId="0" fontId="2" fillId="4" borderId="15" xfId="0" applyFont="1" applyFill="1" applyBorder="1">
      <alignment vertical="center"/>
    </xf>
    <xf numFmtId="41" fontId="2" fillId="4" borderId="15" xfId="2" applyFont="1" applyFill="1" applyBorder="1">
      <alignment vertical="center"/>
    </xf>
    <xf numFmtId="41" fontId="2" fillId="0" borderId="9" xfId="2" applyFont="1" applyBorder="1" applyAlignment="1">
      <alignment horizontal="right" vertical="center"/>
    </xf>
    <xf numFmtId="9" fontId="2" fillId="0" borderId="9" xfId="1" applyFont="1" applyBorder="1" applyAlignment="1">
      <alignment horizontal="right" vertical="center"/>
    </xf>
    <xf numFmtId="41" fontId="2" fillId="0" borderId="12" xfId="2" applyFont="1" applyBorder="1" applyAlignment="1">
      <alignment horizontal="right" vertical="center"/>
    </xf>
    <xf numFmtId="0" fontId="2" fillId="6" borderId="15" xfId="0" applyFont="1" applyFill="1" applyBorder="1">
      <alignment vertical="center"/>
    </xf>
    <xf numFmtId="41" fontId="2" fillId="6" borderId="15" xfId="2" applyFont="1" applyFill="1" applyBorder="1">
      <alignment vertical="center"/>
    </xf>
    <xf numFmtId="41" fontId="2" fillId="6" borderId="9" xfId="2" applyFont="1" applyFill="1" applyBorder="1" applyAlignment="1">
      <alignment horizontal="right" vertical="center"/>
    </xf>
    <xf numFmtId="9" fontId="2" fillId="6" borderId="9" xfId="1" applyFont="1" applyFill="1" applyBorder="1" applyAlignment="1">
      <alignment horizontal="right" vertical="center"/>
    </xf>
    <xf numFmtId="41" fontId="2" fillId="6" borderId="12" xfId="2" applyFont="1" applyFill="1" applyBorder="1" applyAlignment="1">
      <alignment horizontal="right" vertical="center"/>
    </xf>
    <xf numFmtId="0" fontId="2" fillId="6" borderId="0" xfId="0" applyFont="1" applyFill="1">
      <alignment vertical="center"/>
    </xf>
    <xf numFmtId="0" fontId="2" fillId="6" borderId="17" xfId="0" applyFont="1" applyFill="1" applyBorder="1">
      <alignment vertical="center"/>
    </xf>
    <xf numFmtId="41" fontId="2" fillId="6" borderId="17" xfId="2" applyFont="1" applyFill="1" applyBorder="1">
      <alignment vertical="center"/>
    </xf>
    <xf numFmtId="41" fontId="2" fillId="6" borderId="13" xfId="2" applyFont="1" applyFill="1" applyBorder="1" applyAlignment="1">
      <alignment horizontal="right" vertical="center"/>
    </xf>
    <xf numFmtId="9" fontId="2" fillId="6" borderId="13" xfId="1" applyFont="1" applyFill="1" applyBorder="1" applyAlignment="1">
      <alignment horizontal="right" vertical="center"/>
    </xf>
    <xf numFmtId="41" fontId="2" fillId="6" borderId="14" xfId="2" applyFont="1" applyFill="1" applyBorder="1" applyAlignment="1">
      <alignment horizontal="right" vertical="center"/>
    </xf>
    <xf numFmtId="0" fontId="2" fillId="4" borderId="16" xfId="0" applyFont="1" applyFill="1" applyBorder="1">
      <alignment vertical="center"/>
    </xf>
    <xf numFmtId="41" fontId="2" fillId="4" borderId="16" xfId="2" applyFont="1" applyFill="1" applyBorder="1">
      <alignment vertical="center"/>
    </xf>
    <xf numFmtId="41" fontId="2" fillId="6" borderId="26" xfId="2" applyFont="1" applyFill="1" applyBorder="1" applyAlignment="1">
      <alignment horizontal="right" vertical="center"/>
    </xf>
    <xf numFmtId="41" fontId="2" fillId="0" borderId="27" xfId="2" applyFont="1" applyBorder="1" applyAlignment="1">
      <alignment horizontal="right" vertical="center"/>
    </xf>
    <xf numFmtId="41" fontId="4" fillId="0" borderId="26" xfId="2" applyFont="1" applyBorder="1" applyAlignment="1">
      <alignment horizontal="right" vertical="center"/>
    </xf>
    <xf numFmtId="41" fontId="4" fillId="0" borderId="27" xfId="2" applyFont="1" applyBorder="1" applyAlignment="1">
      <alignment horizontal="right" vertical="center"/>
    </xf>
    <xf numFmtId="41" fontId="2" fillId="6" borderId="28" xfId="2" applyFont="1" applyFill="1" applyBorder="1" applyAlignment="1">
      <alignment horizontal="right" vertical="center"/>
    </xf>
    <xf numFmtId="0" fontId="4" fillId="4" borderId="16" xfId="0" applyFont="1" applyFill="1" applyBorder="1" applyAlignment="1">
      <alignment horizontal="left" vertical="center"/>
    </xf>
    <xf numFmtId="9" fontId="15" fillId="0" borderId="8" xfId="1" applyFont="1" applyFill="1" applyBorder="1">
      <alignment vertical="center"/>
    </xf>
    <xf numFmtId="9" fontId="9" fillId="2" borderId="21" xfId="1" applyFont="1" applyFill="1" applyBorder="1">
      <alignment vertical="center"/>
    </xf>
    <xf numFmtId="9" fontId="9" fillId="2" borderId="22" xfId="1" applyFont="1" applyFill="1" applyBorder="1">
      <alignment vertical="center"/>
    </xf>
    <xf numFmtId="0" fontId="5" fillId="2" borderId="29" xfId="0" applyFont="1" applyFill="1" applyBorder="1" applyAlignment="1">
      <alignment horizontal="center" vertical="center"/>
    </xf>
    <xf numFmtId="9" fontId="2" fillId="6" borderId="26" xfId="1" applyFont="1" applyFill="1" applyBorder="1" applyAlignment="1">
      <alignment horizontal="right" vertical="center"/>
    </xf>
    <xf numFmtId="9" fontId="19" fillId="2" borderId="21" xfId="1" applyFont="1" applyFill="1" applyBorder="1">
      <alignment vertical="center"/>
    </xf>
    <xf numFmtId="9" fontId="19" fillId="2" borderId="22" xfId="1" applyFont="1" applyFill="1" applyBorder="1">
      <alignment vertical="center"/>
    </xf>
    <xf numFmtId="10" fontId="4" fillId="0" borderId="9" xfId="1" applyNumberFormat="1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4" fillId="2" borderId="0" xfId="0" applyFont="1" applyFill="1">
      <alignment vertical="center"/>
    </xf>
    <xf numFmtId="0" fontId="10" fillId="3" borderId="23" xfId="0" applyFont="1" applyFill="1" applyBorder="1" applyAlignment="1">
      <alignment horizontal="center" vertical="center"/>
    </xf>
    <xf numFmtId="9" fontId="4" fillId="0" borderId="0" xfId="1" applyFont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41" fontId="2" fillId="4" borderId="27" xfId="2" applyFont="1" applyFill="1" applyBorder="1" applyAlignment="1">
      <alignment horizontal="right" vertical="center"/>
    </xf>
    <xf numFmtId="9" fontId="2" fillId="4" borderId="9" xfId="1" applyFont="1" applyFill="1" applyBorder="1" applyAlignment="1">
      <alignment horizontal="right" vertical="center"/>
    </xf>
    <xf numFmtId="41" fontId="2" fillId="4" borderId="9" xfId="2" applyFont="1" applyFill="1" applyBorder="1" applyAlignment="1">
      <alignment horizontal="right" vertical="center"/>
    </xf>
    <xf numFmtId="41" fontId="2" fillId="4" borderId="12" xfId="2" applyFont="1" applyFill="1" applyBorder="1" applyAlignment="1">
      <alignment horizontal="right" vertical="center"/>
    </xf>
    <xf numFmtId="0" fontId="2" fillId="4" borderId="0" xfId="0" applyFont="1" applyFill="1">
      <alignment vertical="center"/>
    </xf>
    <xf numFmtId="41" fontId="2" fillId="4" borderId="26" xfId="2" applyFont="1" applyFill="1" applyBorder="1" applyAlignment="1">
      <alignment horizontal="right" vertical="center"/>
    </xf>
    <xf numFmtId="0" fontId="4" fillId="6" borderId="0" xfId="0" applyFont="1" applyFill="1">
      <alignment vertical="center"/>
    </xf>
    <xf numFmtId="0" fontId="14" fillId="0" borderId="30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176" fontId="21" fillId="0" borderId="22" xfId="2" applyNumberFormat="1" applyFont="1" applyFill="1" applyBorder="1" applyAlignment="1">
      <alignment horizontal="right" vertical="center"/>
    </xf>
    <xf numFmtId="9" fontId="2" fillId="0" borderId="22" xfId="1" applyFont="1" applyFill="1" applyBorder="1">
      <alignment vertical="center"/>
    </xf>
    <xf numFmtId="9" fontId="20" fillId="0" borderId="22" xfId="1" applyFont="1" applyFill="1" applyBorder="1" applyAlignment="1">
      <alignment horizontal="right" vertical="center"/>
    </xf>
    <xf numFmtId="9" fontId="21" fillId="0" borderId="22" xfId="1" applyFont="1" applyFill="1" applyBorder="1">
      <alignment vertical="center"/>
    </xf>
    <xf numFmtId="9" fontId="18" fillId="0" borderId="22" xfId="1" applyFont="1" applyFill="1" applyBorder="1">
      <alignment vertical="center"/>
    </xf>
    <xf numFmtId="9" fontId="20" fillId="0" borderId="22" xfId="1" applyFont="1" applyFill="1" applyBorder="1">
      <alignment vertical="center"/>
    </xf>
    <xf numFmtId="41" fontId="2" fillId="7" borderId="4" xfId="2" applyFont="1" applyFill="1" applyBorder="1" applyAlignment="1">
      <alignment horizontal="right" vertical="center"/>
    </xf>
    <xf numFmtId="179" fontId="4" fillId="0" borderId="26" xfId="2" applyNumberFormat="1" applyFont="1" applyBorder="1" applyAlignment="1">
      <alignment horizontal="right" vertical="center"/>
    </xf>
    <xf numFmtId="179" fontId="4" fillId="0" borderId="0" xfId="0" applyNumberFormat="1" applyFont="1">
      <alignment vertical="center"/>
    </xf>
    <xf numFmtId="43" fontId="4" fillId="0" borderId="0" xfId="2" applyNumberFormat="1" applyFont="1">
      <alignment vertical="center"/>
    </xf>
    <xf numFmtId="9" fontId="2" fillId="4" borderId="27" xfId="1" applyFont="1" applyFill="1" applyBorder="1">
      <alignment vertical="center"/>
    </xf>
    <xf numFmtId="176" fontId="4" fillId="0" borderId="0" xfId="2" applyNumberFormat="1" applyFont="1" applyBorder="1" applyAlignment="1">
      <alignment horizontal="center" vertical="center"/>
    </xf>
    <xf numFmtId="176" fontId="4" fillId="0" borderId="0" xfId="2" applyNumberFormat="1" applyFont="1" applyBorder="1" applyAlignment="1">
      <alignment horizontal="right" vertical="center"/>
    </xf>
    <xf numFmtId="176" fontId="5" fillId="0" borderId="0" xfId="2" applyNumberFormat="1" applyFont="1" applyBorder="1" applyAlignment="1">
      <alignment horizontal="right" vertical="center"/>
    </xf>
    <xf numFmtId="176" fontId="4" fillId="0" borderId="0" xfId="2" applyNumberFormat="1" applyFont="1" applyBorder="1">
      <alignment vertical="center"/>
    </xf>
    <xf numFmtId="180" fontId="23" fillId="0" borderId="24" xfId="0" applyNumberFormat="1" applyFont="1" applyBorder="1" applyAlignment="1">
      <alignment horizontal="center" vertical="center"/>
    </xf>
    <xf numFmtId="180" fontId="12" fillId="0" borderId="21" xfId="1" applyNumberFormat="1" applyFont="1" applyBorder="1" applyAlignment="1">
      <alignment horizontal="right" vertical="center"/>
    </xf>
    <xf numFmtId="180" fontId="12" fillId="0" borderId="21" xfId="1" applyNumberFormat="1" applyFont="1" applyFill="1" applyBorder="1">
      <alignment vertical="center"/>
    </xf>
    <xf numFmtId="180" fontId="13" fillId="0" borderId="0" xfId="0" applyNumberFormat="1" applyFont="1">
      <alignment vertical="center"/>
    </xf>
    <xf numFmtId="41" fontId="2" fillId="0" borderId="4" xfId="2" applyFont="1" applyFill="1" applyBorder="1" applyAlignment="1">
      <alignment horizontal="right" vertical="center"/>
    </xf>
    <xf numFmtId="9" fontId="7" fillId="0" borderId="0" xfId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76" fontId="7" fillId="0" borderId="0" xfId="2" applyNumberFormat="1" applyFont="1" applyFill="1" applyBorder="1" applyAlignment="1">
      <alignment horizontal="left" vertical="center"/>
    </xf>
    <xf numFmtId="0" fontId="7" fillId="0" borderId="0" xfId="0" applyFont="1">
      <alignment vertical="center"/>
    </xf>
    <xf numFmtId="179" fontId="4" fillId="0" borderId="10" xfId="2" applyNumberFormat="1" applyFont="1" applyBorder="1" applyAlignment="1">
      <alignment horizontal="right" vertical="center"/>
    </xf>
    <xf numFmtId="179" fontId="4" fillId="0" borderId="9" xfId="2" applyNumberFormat="1" applyFont="1" applyBorder="1" applyAlignment="1">
      <alignment horizontal="right" vertical="center"/>
    </xf>
    <xf numFmtId="179" fontId="4" fillId="0" borderId="0" xfId="2" applyNumberFormat="1" applyFont="1" applyAlignment="1">
      <alignment horizontal="right" vertical="center"/>
    </xf>
    <xf numFmtId="179" fontId="2" fillId="5" borderId="18" xfId="2" applyNumberFormat="1" applyFont="1" applyFill="1" applyBorder="1" applyAlignment="1">
      <alignment horizontal="right" vertical="center"/>
    </xf>
    <xf numFmtId="179" fontId="4" fillId="0" borderId="10" xfId="0" applyNumberFormat="1" applyFont="1" applyBorder="1">
      <alignment vertical="center"/>
    </xf>
    <xf numFmtId="179" fontId="2" fillId="5" borderId="19" xfId="2" applyNumberFormat="1" applyFont="1" applyFill="1" applyBorder="1" applyAlignment="1">
      <alignment horizontal="right" vertical="center"/>
    </xf>
    <xf numFmtId="179" fontId="6" fillId="5" borderId="19" xfId="2" applyNumberFormat="1" applyFont="1" applyFill="1" applyBorder="1" applyAlignment="1">
      <alignment horizontal="right" vertical="center"/>
    </xf>
    <xf numFmtId="179" fontId="4" fillId="0" borderId="9" xfId="0" applyNumberFormat="1" applyFont="1" applyBorder="1">
      <alignment vertical="center"/>
    </xf>
    <xf numFmtId="179" fontId="4" fillId="0" borderId="0" xfId="2" applyNumberFormat="1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1" xfId="2" applyNumberFormat="1" applyFont="1" applyBorder="1">
      <alignment vertical="center"/>
    </xf>
    <xf numFmtId="49" fontId="2" fillId="5" borderId="3" xfId="2" applyNumberFormat="1" applyFont="1" applyFill="1" applyBorder="1" applyAlignment="1">
      <alignment horizontal="right" vertical="center"/>
    </xf>
    <xf numFmtId="49" fontId="2" fillId="0" borderId="4" xfId="2" applyNumberFormat="1" applyFont="1" applyBorder="1" applyAlignment="1">
      <alignment horizontal="right" vertical="center"/>
    </xf>
    <xf numFmtId="49" fontId="4" fillId="0" borderId="4" xfId="2" applyNumberFormat="1" applyFont="1" applyBorder="1" applyAlignment="1">
      <alignment horizontal="right" vertical="center"/>
    </xf>
    <xf numFmtId="49" fontId="2" fillId="0" borderId="4" xfId="1" applyNumberFormat="1" applyFont="1" applyBorder="1" applyAlignment="1">
      <alignment horizontal="right" vertical="center"/>
    </xf>
    <xf numFmtId="49" fontId="2" fillId="0" borderId="3" xfId="1" applyNumberFormat="1" applyFont="1" applyBorder="1" applyAlignment="1">
      <alignment horizontal="right" vertical="center"/>
    </xf>
    <xf numFmtId="49" fontId="2" fillId="0" borderId="0" xfId="2" applyNumberFormat="1" applyFont="1" applyAlignment="1">
      <alignment horizontal="right" vertical="center"/>
    </xf>
    <xf numFmtId="49" fontId="2" fillId="0" borderId="0" xfId="0" applyNumberFormat="1" applyFont="1">
      <alignment vertical="center"/>
    </xf>
    <xf numFmtId="9" fontId="4" fillId="0" borderId="10" xfId="1" applyFont="1" applyBorder="1" applyAlignment="1">
      <alignment horizontal="right" vertical="center"/>
    </xf>
    <xf numFmtId="9" fontId="4" fillId="0" borderId="11" xfId="1" applyFont="1" applyBorder="1">
      <alignment vertical="center"/>
    </xf>
    <xf numFmtId="179" fontId="4" fillId="4" borderId="13" xfId="2" applyNumberFormat="1" applyFont="1" applyFill="1" applyBorder="1" applyAlignment="1">
      <alignment horizontal="right" vertical="center"/>
    </xf>
    <xf numFmtId="9" fontId="4" fillId="4" borderId="13" xfId="1" applyFont="1" applyFill="1" applyBorder="1">
      <alignment vertical="center"/>
    </xf>
    <xf numFmtId="179" fontId="4" fillId="4" borderId="20" xfId="2" applyNumberFormat="1" applyFont="1" applyFill="1" applyBorder="1" applyAlignment="1">
      <alignment horizontal="right" vertical="center"/>
    </xf>
    <xf numFmtId="9" fontId="4" fillId="4" borderId="14" xfId="1" applyFont="1" applyFill="1" applyBorder="1">
      <alignment vertical="center"/>
    </xf>
    <xf numFmtId="179" fontId="4" fillId="0" borderId="10" xfId="0" applyNumberFormat="1" applyFont="1" applyBorder="1" applyAlignment="1">
      <alignment horizontal="right" vertical="center"/>
    </xf>
    <xf numFmtId="9" fontId="4" fillId="0" borderId="12" xfId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182" fontId="7" fillId="0" borderId="21" xfId="1" applyNumberFormat="1" applyFont="1" applyFill="1" applyBorder="1">
      <alignment vertical="center"/>
    </xf>
    <xf numFmtId="182" fontId="24" fillId="0" borderId="21" xfId="1" applyNumberFormat="1" applyFont="1" applyFill="1" applyBorder="1">
      <alignment vertical="center"/>
    </xf>
    <xf numFmtId="182" fontId="17" fillId="0" borderId="21" xfId="1" applyNumberFormat="1" applyFont="1" applyFill="1" applyBorder="1">
      <alignment vertical="center"/>
    </xf>
    <xf numFmtId="182" fontId="7" fillId="0" borderId="0" xfId="2" applyNumberFormat="1" applyFont="1" applyBorder="1">
      <alignment vertical="center"/>
    </xf>
    <xf numFmtId="0" fontId="5" fillId="4" borderId="0" xfId="0" applyFont="1" applyFill="1" applyAlignment="1">
      <alignment horizontal="center" vertical="center"/>
    </xf>
    <xf numFmtId="176" fontId="7" fillId="4" borderId="24" xfId="2" applyNumberFormat="1" applyFont="1" applyFill="1" applyBorder="1" applyAlignment="1">
      <alignment horizontal="center" vertical="center"/>
    </xf>
    <xf numFmtId="176" fontId="7" fillId="4" borderId="21" xfId="2" applyNumberFormat="1" applyFont="1" applyFill="1" applyBorder="1" applyAlignment="1">
      <alignment horizontal="right" vertical="center"/>
    </xf>
    <xf numFmtId="182" fontId="6" fillId="4" borderId="21" xfId="1" applyNumberFormat="1" applyFont="1" applyFill="1" applyBorder="1">
      <alignment vertical="center"/>
    </xf>
    <xf numFmtId="9" fontId="7" fillId="4" borderId="21" xfId="1" applyFont="1" applyFill="1" applyBorder="1">
      <alignment vertical="center"/>
    </xf>
    <xf numFmtId="176" fontId="7" fillId="4" borderId="21" xfId="2" applyNumberFormat="1" applyFont="1" applyFill="1" applyBorder="1">
      <alignment vertical="center"/>
    </xf>
    <xf numFmtId="182" fontId="7" fillId="4" borderId="21" xfId="1" applyNumberFormat="1" applyFont="1" applyFill="1" applyBorder="1">
      <alignment vertical="center"/>
    </xf>
    <xf numFmtId="176" fontId="7" fillId="4" borderId="0" xfId="2" applyNumberFormat="1" applyFont="1" applyFill="1">
      <alignment vertical="center"/>
    </xf>
    <xf numFmtId="9" fontId="7" fillId="4" borderId="24" xfId="1" applyFont="1" applyFill="1" applyBorder="1" applyAlignment="1">
      <alignment horizontal="center" vertical="center"/>
    </xf>
    <xf numFmtId="9" fontId="7" fillId="4" borderId="0" xfId="1" applyFont="1" applyFill="1">
      <alignment vertical="center"/>
    </xf>
    <xf numFmtId="0" fontId="14" fillId="4" borderId="24" xfId="0" applyFont="1" applyFill="1" applyBorder="1" applyAlignment="1">
      <alignment horizontal="center" vertical="center"/>
    </xf>
    <xf numFmtId="176" fontId="14" fillId="4" borderId="21" xfId="2" applyNumberFormat="1" applyFont="1" applyFill="1" applyBorder="1" applyAlignment="1">
      <alignment horizontal="right" vertical="center"/>
    </xf>
    <xf numFmtId="182" fontId="17" fillId="4" borderId="21" xfId="1" applyNumberFormat="1" applyFont="1" applyFill="1" applyBorder="1">
      <alignment vertical="center"/>
    </xf>
    <xf numFmtId="176" fontId="14" fillId="4" borderId="21" xfId="2" applyNumberFormat="1" applyFont="1" applyFill="1" applyBorder="1">
      <alignment vertical="center"/>
    </xf>
    <xf numFmtId="9" fontId="15" fillId="4" borderId="21" xfId="1" applyFont="1" applyFill="1" applyBorder="1">
      <alignment vertical="center"/>
    </xf>
    <xf numFmtId="9" fontId="14" fillId="4" borderId="21" xfId="1" applyFont="1" applyFill="1" applyBorder="1">
      <alignment vertical="center"/>
    </xf>
    <xf numFmtId="0" fontId="14" fillId="4" borderId="0" xfId="0" applyFont="1" applyFill="1">
      <alignment vertical="center"/>
    </xf>
    <xf numFmtId="177" fontId="4" fillId="4" borderId="0" xfId="0" applyNumberFormat="1" applyFont="1" applyFill="1">
      <alignment vertical="center"/>
    </xf>
    <xf numFmtId="0" fontId="10" fillId="3" borderId="32" xfId="0" applyFont="1" applyFill="1" applyBorder="1" applyAlignment="1">
      <alignment horizontal="center" vertical="center"/>
    </xf>
    <xf numFmtId="176" fontId="14" fillId="0" borderId="24" xfId="2" applyNumberFormat="1" applyFont="1" applyFill="1" applyBorder="1">
      <alignment vertical="center"/>
    </xf>
    <xf numFmtId="176" fontId="7" fillId="4" borderId="24" xfId="2" applyNumberFormat="1" applyFont="1" applyFill="1" applyBorder="1">
      <alignment vertical="center"/>
    </xf>
    <xf numFmtId="180" fontId="12" fillId="0" borderId="24" xfId="1" applyNumberFormat="1" applyFont="1" applyFill="1" applyBorder="1">
      <alignment vertical="center"/>
    </xf>
    <xf numFmtId="176" fontId="14" fillId="4" borderId="24" xfId="2" applyNumberFormat="1" applyFont="1" applyFill="1" applyBorder="1">
      <alignment vertical="center"/>
    </xf>
    <xf numFmtId="176" fontId="4" fillId="0" borderId="31" xfId="2" applyNumberFormat="1" applyFont="1" applyBorder="1">
      <alignment vertical="center"/>
    </xf>
    <xf numFmtId="176" fontId="4" fillId="0" borderId="35" xfId="2" applyNumberFormat="1" applyFont="1" applyBorder="1">
      <alignment vertical="center"/>
    </xf>
    <xf numFmtId="0" fontId="4" fillId="0" borderId="31" xfId="0" applyFont="1" applyBorder="1">
      <alignment vertical="center"/>
    </xf>
    <xf numFmtId="0" fontId="4" fillId="0" borderId="35" xfId="0" applyFont="1" applyBorder="1">
      <alignment vertical="center"/>
    </xf>
    <xf numFmtId="0" fontId="10" fillId="3" borderId="36" xfId="0" applyFont="1" applyFill="1" applyBorder="1" applyAlignment="1">
      <alignment horizontal="center" vertical="center"/>
    </xf>
    <xf numFmtId="177" fontId="14" fillId="0" borderId="30" xfId="0" applyNumberFormat="1" applyFont="1" applyBorder="1">
      <alignment vertical="center"/>
    </xf>
    <xf numFmtId="177" fontId="4" fillId="2" borderId="24" xfId="0" applyNumberFormat="1" applyFont="1" applyFill="1" applyBorder="1">
      <alignment vertical="center"/>
    </xf>
    <xf numFmtId="177" fontId="2" fillId="0" borderId="29" xfId="0" applyNumberFormat="1" applyFont="1" applyBorder="1">
      <alignment vertical="center"/>
    </xf>
    <xf numFmtId="177" fontId="4" fillId="2" borderId="29" xfId="0" applyNumberFormat="1" applyFont="1" applyFill="1" applyBorder="1">
      <alignment vertical="center"/>
    </xf>
    <xf numFmtId="9" fontId="7" fillId="4" borderId="21" xfId="1" applyFont="1" applyFill="1" applyBorder="1" applyAlignment="1">
      <alignment horizontal="right" vertical="center"/>
    </xf>
    <xf numFmtId="177" fontId="14" fillId="0" borderId="8" xfId="0" applyNumberFormat="1" applyFont="1" applyBorder="1">
      <alignment vertical="center"/>
    </xf>
    <xf numFmtId="177" fontId="4" fillId="2" borderId="21" xfId="0" applyNumberFormat="1" applyFont="1" applyFill="1" applyBorder="1">
      <alignment vertical="center"/>
    </xf>
    <xf numFmtId="177" fontId="2" fillId="0" borderId="22" xfId="0" applyNumberFormat="1" applyFont="1" applyBorder="1">
      <alignment vertical="center"/>
    </xf>
    <xf numFmtId="177" fontId="4" fillId="2" borderId="22" xfId="0" applyNumberFormat="1" applyFont="1" applyFill="1" applyBorder="1">
      <alignment vertical="center"/>
    </xf>
    <xf numFmtId="0" fontId="10" fillId="3" borderId="40" xfId="0" applyFont="1" applyFill="1" applyBorder="1" applyAlignment="1">
      <alignment horizontal="center" vertical="center"/>
    </xf>
    <xf numFmtId="9" fontId="15" fillId="0" borderId="33" xfId="1" applyFont="1" applyFill="1" applyBorder="1" applyAlignment="1">
      <alignment horizontal="right" vertical="center"/>
    </xf>
    <xf numFmtId="176" fontId="7" fillId="4" borderId="24" xfId="2" applyNumberFormat="1" applyFont="1" applyFill="1" applyBorder="1" applyAlignment="1">
      <alignment horizontal="right" vertical="center"/>
    </xf>
    <xf numFmtId="9" fontId="7" fillId="4" borderId="33" xfId="1" applyFont="1" applyFill="1" applyBorder="1" applyAlignment="1">
      <alignment horizontal="right" vertical="center"/>
    </xf>
    <xf numFmtId="9" fontId="15" fillId="4" borderId="33" xfId="1" applyFont="1" applyFill="1" applyBorder="1" applyAlignment="1">
      <alignment horizontal="right" vertical="center"/>
    </xf>
    <xf numFmtId="0" fontId="10" fillId="3" borderId="41" xfId="0" applyFont="1" applyFill="1" applyBorder="1" applyAlignment="1">
      <alignment horizontal="center" vertical="center"/>
    </xf>
    <xf numFmtId="177" fontId="14" fillId="0" borderId="24" xfId="0" applyNumberFormat="1" applyFont="1" applyBorder="1">
      <alignment vertical="center"/>
    </xf>
    <xf numFmtId="177" fontId="5" fillId="2" borderId="21" xfId="0" applyNumberFormat="1" applyFont="1" applyFill="1" applyBorder="1">
      <alignment vertical="center"/>
    </xf>
    <xf numFmtId="177" fontId="21" fillId="0" borderId="22" xfId="0" applyNumberFormat="1" applyFont="1" applyBorder="1">
      <alignment vertical="center"/>
    </xf>
    <xf numFmtId="0" fontId="10" fillId="3" borderId="2" xfId="0" applyFont="1" applyFill="1" applyBorder="1" applyAlignment="1">
      <alignment horizontal="center" vertical="center"/>
    </xf>
    <xf numFmtId="176" fontId="2" fillId="0" borderId="42" xfId="2" applyNumberFormat="1" applyFont="1" applyFill="1" applyBorder="1" applyAlignment="1">
      <alignment horizontal="right" vertical="center"/>
    </xf>
    <xf numFmtId="176" fontId="4" fillId="4" borderId="42" xfId="2" applyNumberFormat="1" applyFont="1" applyFill="1" applyBorder="1" applyAlignment="1">
      <alignment horizontal="right" vertical="center"/>
    </xf>
    <xf numFmtId="176" fontId="4" fillId="4" borderId="1" xfId="2" applyNumberFormat="1" applyFont="1" applyFill="1" applyBorder="1" applyAlignment="1">
      <alignment horizontal="right" vertical="center"/>
    </xf>
    <xf numFmtId="176" fontId="2" fillId="0" borderId="43" xfId="2" applyNumberFormat="1" applyFont="1" applyFill="1" applyBorder="1" applyAlignment="1">
      <alignment horizontal="right" vertical="center"/>
    </xf>
    <xf numFmtId="176" fontId="2" fillId="4" borderId="1" xfId="2" applyNumberFormat="1" applyFont="1" applyFill="1" applyBorder="1" applyAlignment="1">
      <alignment horizontal="right" vertical="center"/>
    </xf>
    <xf numFmtId="176" fontId="4" fillId="0" borderId="44" xfId="2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0" fontId="14" fillId="4" borderId="45" xfId="0" applyFont="1" applyFill="1" applyBorder="1" applyAlignment="1">
      <alignment horizontal="center" vertical="center"/>
    </xf>
    <xf numFmtId="0" fontId="5" fillId="4" borderId="46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5" fillId="4" borderId="44" xfId="0" applyFont="1" applyFill="1" applyBorder="1" applyAlignment="1">
      <alignment horizontal="center" vertical="center"/>
    </xf>
    <xf numFmtId="176" fontId="2" fillId="0" borderId="48" xfId="2" applyNumberFormat="1" applyFont="1" applyFill="1" applyBorder="1" applyAlignment="1">
      <alignment horizontal="right" vertical="center"/>
    </xf>
    <xf numFmtId="9" fontId="21" fillId="0" borderId="49" xfId="1" applyFont="1" applyFill="1" applyBorder="1" applyAlignment="1">
      <alignment horizontal="right" vertical="center"/>
    </xf>
    <xf numFmtId="176" fontId="4" fillId="4" borderId="48" xfId="2" applyNumberFormat="1" applyFont="1" applyFill="1" applyBorder="1" applyAlignment="1">
      <alignment horizontal="right" vertical="center"/>
    </xf>
    <xf numFmtId="9" fontId="5" fillId="4" borderId="49" xfId="1" applyFont="1" applyFill="1" applyBorder="1" applyAlignment="1">
      <alignment horizontal="right" vertical="center"/>
    </xf>
    <xf numFmtId="176" fontId="4" fillId="4" borderId="2" xfId="2" applyNumberFormat="1" applyFont="1" applyFill="1" applyBorder="1" applyAlignment="1">
      <alignment horizontal="right" vertical="center"/>
    </xf>
    <xf numFmtId="9" fontId="5" fillId="4" borderId="3" xfId="1" applyFont="1" applyFill="1" applyBorder="1" applyAlignment="1">
      <alignment horizontal="right" vertical="center"/>
    </xf>
    <xf numFmtId="176" fontId="2" fillId="0" borderId="38" xfId="2" applyNumberFormat="1" applyFont="1" applyFill="1" applyBorder="1" applyAlignment="1">
      <alignment horizontal="right" vertical="center"/>
    </xf>
    <xf numFmtId="9" fontId="21" fillId="0" borderId="39" xfId="1" applyFont="1" applyFill="1" applyBorder="1" applyAlignment="1">
      <alignment horizontal="right" vertical="center"/>
    </xf>
    <xf numFmtId="181" fontId="11" fillId="0" borderId="2" xfId="1" applyNumberFormat="1" applyFont="1" applyFill="1" applyBorder="1" applyAlignment="1">
      <alignment horizontal="right" vertical="center"/>
    </xf>
    <xf numFmtId="181" fontId="11" fillId="0" borderId="3" xfId="1" applyNumberFormat="1" applyFont="1" applyFill="1" applyBorder="1" applyAlignment="1">
      <alignment horizontal="right" vertical="center"/>
    </xf>
    <xf numFmtId="181" fontId="11" fillId="4" borderId="2" xfId="1" applyNumberFormat="1" applyFont="1" applyFill="1" applyBorder="1" applyAlignment="1">
      <alignment horizontal="right" vertical="center"/>
    </xf>
    <xf numFmtId="181" fontId="11" fillId="4" borderId="3" xfId="1" applyNumberFormat="1" applyFont="1" applyFill="1" applyBorder="1" applyAlignment="1">
      <alignment horizontal="right" vertical="center"/>
    </xf>
    <xf numFmtId="176" fontId="2" fillId="4" borderId="2" xfId="2" applyNumberFormat="1" applyFont="1" applyFill="1" applyBorder="1" applyAlignment="1">
      <alignment horizontal="right" vertical="center"/>
    </xf>
    <xf numFmtId="9" fontId="21" fillId="4" borderId="3" xfId="1" applyFont="1" applyFill="1" applyBorder="1" applyAlignment="1">
      <alignment horizontal="right" vertical="center"/>
    </xf>
    <xf numFmtId="176" fontId="4" fillId="0" borderId="31" xfId="2" applyNumberFormat="1" applyFont="1" applyBorder="1" applyAlignment="1">
      <alignment horizontal="center" vertical="center"/>
    </xf>
    <xf numFmtId="176" fontId="4" fillId="0" borderId="35" xfId="2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10" fillId="3" borderId="50" xfId="0" applyFont="1" applyFill="1" applyBorder="1" applyAlignment="1">
      <alignment horizontal="center" vertical="center"/>
    </xf>
    <xf numFmtId="176" fontId="14" fillId="0" borderId="24" xfId="2" applyNumberFormat="1" applyFont="1" applyBorder="1" applyAlignment="1">
      <alignment horizontal="right" vertical="center"/>
    </xf>
    <xf numFmtId="180" fontId="12" fillId="0" borderId="24" xfId="1" applyNumberFormat="1" applyFont="1" applyBorder="1" applyAlignment="1">
      <alignment horizontal="right" vertical="center"/>
    </xf>
    <xf numFmtId="176" fontId="14" fillId="4" borderId="24" xfId="2" applyNumberFormat="1" applyFont="1" applyFill="1" applyBorder="1" applyAlignment="1">
      <alignment horizontal="right" vertical="center"/>
    </xf>
    <xf numFmtId="176" fontId="5" fillId="0" borderId="31" xfId="2" applyNumberFormat="1" applyFont="1" applyBorder="1" applyAlignment="1">
      <alignment horizontal="right" vertical="center"/>
    </xf>
    <xf numFmtId="9" fontId="5" fillId="0" borderId="31" xfId="1" applyFont="1" applyBorder="1" applyAlignment="1">
      <alignment horizontal="right" vertical="center"/>
    </xf>
    <xf numFmtId="176" fontId="17" fillId="0" borderId="30" xfId="2" applyNumberFormat="1" applyFont="1" applyFill="1" applyBorder="1" applyAlignment="1">
      <alignment horizontal="right" vertical="center"/>
    </xf>
    <xf numFmtId="176" fontId="5" fillId="2" borderId="24" xfId="2" applyNumberFormat="1" applyFont="1" applyFill="1" applyBorder="1" applyAlignment="1">
      <alignment horizontal="right" vertical="center"/>
    </xf>
    <xf numFmtId="176" fontId="17" fillId="0" borderId="24" xfId="2" applyNumberFormat="1" applyFont="1" applyFill="1" applyBorder="1" applyAlignment="1">
      <alignment horizontal="right" vertical="center"/>
    </xf>
    <xf numFmtId="176" fontId="21" fillId="0" borderId="29" xfId="2" applyNumberFormat="1" applyFont="1" applyFill="1" applyBorder="1" applyAlignment="1">
      <alignment horizontal="right" vertical="center"/>
    </xf>
    <xf numFmtId="176" fontId="7" fillId="2" borderId="29" xfId="2" applyNumberFormat="1" applyFont="1" applyFill="1" applyBorder="1" applyAlignment="1">
      <alignment horizontal="right" vertical="center"/>
    </xf>
    <xf numFmtId="180" fontId="12" fillId="0" borderId="33" xfId="1" applyNumberFormat="1" applyFont="1" applyFill="1" applyBorder="1" applyAlignment="1">
      <alignment horizontal="right" vertical="center"/>
    </xf>
    <xf numFmtId="177" fontId="14" fillId="4" borderId="21" xfId="0" applyNumberFormat="1" applyFont="1" applyFill="1" applyBorder="1">
      <alignment vertical="center"/>
    </xf>
    <xf numFmtId="0" fontId="10" fillId="3" borderId="51" xfId="0" applyFont="1" applyFill="1" applyBorder="1" applyAlignment="1">
      <alignment horizontal="center" vertical="center"/>
    </xf>
    <xf numFmtId="177" fontId="14" fillId="0" borderId="37" xfId="0" applyNumberFormat="1" applyFont="1" applyBorder="1">
      <alignment vertical="center"/>
    </xf>
    <xf numFmtId="177" fontId="14" fillId="0" borderId="33" xfId="0" applyNumberFormat="1" applyFont="1" applyBorder="1">
      <alignment vertical="center"/>
    </xf>
    <xf numFmtId="177" fontId="4" fillId="2" borderId="34" xfId="0" applyNumberFormat="1" applyFont="1" applyFill="1" applyBorder="1">
      <alignment vertical="center"/>
    </xf>
    <xf numFmtId="176" fontId="14" fillId="0" borderId="8" xfId="2" applyNumberFormat="1" applyFont="1" applyFill="1" applyBorder="1">
      <alignment vertical="center"/>
    </xf>
    <xf numFmtId="177" fontId="5" fillId="2" borderId="21" xfId="2" applyNumberFormat="1" applyFont="1" applyFill="1" applyBorder="1" applyAlignment="1">
      <alignment horizontal="right" vertical="center"/>
    </xf>
    <xf numFmtId="9" fontId="4" fillId="2" borderId="52" xfId="1" applyFont="1" applyFill="1" applyBorder="1">
      <alignment vertical="center"/>
    </xf>
    <xf numFmtId="9" fontId="9" fillId="2" borderId="52" xfId="1" applyFont="1" applyFill="1" applyBorder="1" applyAlignment="1">
      <alignment horizontal="right" vertical="center"/>
    </xf>
    <xf numFmtId="176" fontId="4" fillId="2" borderId="52" xfId="2" applyNumberFormat="1" applyFont="1" applyFill="1" applyBorder="1">
      <alignment vertical="center"/>
    </xf>
    <xf numFmtId="177" fontId="4" fillId="2" borderId="52" xfId="0" applyNumberFormat="1" applyFont="1" applyFill="1" applyBorder="1">
      <alignment vertical="center"/>
    </xf>
    <xf numFmtId="9" fontId="9" fillId="2" borderId="52" xfId="1" applyFont="1" applyFill="1" applyBorder="1">
      <alignment vertical="center"/>
    </xf>
    <xf numFmtId="9" fontId="5" fillId="2" borderId="52" xfId="1" applyFont="1" applyFill="1" applyBorder="1">
      <alignment vertical="center"/>
    </xf>
    <xf numFmtId="176" fontId="7" fillId="4" borderId="31" xfId="2" applyNumberFormat="1" applyFont="1" applyFill="1" applyBorder="1" applyAlignment="1">
      <alignment horizontal="right" vertical="center"/>
    </xf>
    <xf numFmtId="176" fontId="7" fillId="4" borderId="0" xfId="2" applyNumberFormat="1" applyFont="1" applyFill="1" applyBorder="1" applyAlignment="1">
      <alignment horizontal="right" vertical="center"/>
    </xf>
    <xf numFmtId="177" fontId="4" fillId="4" borderId="35" xfId="0" applyNumberFormat="1" applyFont="1" applyFill="1" applyBorder="1">
      <alignment vertical="center"/>
    </xf>
    <xf numFmtId="182" fontId="4" fillId="4" borderId="0" xfId="1" applyNumberFormat="1" applyFont="1" applyFill="1" applyBorder="1">
      <alignment vertical="center"/>
    </xf>
    <xf numFmtId="9" fontId="4" fillId="4" borderId="0" xfId="1" applyFont="1" applyFill="1" applyBorder="1">
      <alignment vertical="center"/>
    </xf>
    <xf numFmtId="176" fontId="4" fillId="4" borderId="0" xfId="2" applyNumberFormat="1" applyFont="1" applyFill="1" applyBorder="1">
      <alignment vertical="center"/>
    </xf>
    <xf numFmtId="177" fontId="4" fillId="4" borderId="31" xfId="0" applyNumberFormat="1" applyFont="1" applyFill="1" applyBorder="1">
      <alignment vertical="center"/>
    </xf>
    <xf numFmtId="0" fontId="4" fillId="4" borderId="0" xfId="0" applyFont="1" applyFill="1">
      <alignment vertical="center"/>
    </xf>
    <xf numFmtId="0" fontId="10" fillId="3" borderId="3" xfId="0" applyFont="1" applyFill="1" applyBorder="1" applyAlignment="1">
      <alignment horizontal="center" vertical="center"/>
    </xf>
    <xf numFmtId="181" fontId="12" fillId="0" borderId="21" xfId="1" applyNumberFormat="1" applyFont="1" applyFill="1" applyBorder="1">
      <alignment vertical="center"/>
    </xf>
    <xf numFmtId="181" fontId="7" fillId="0" borderId="21" xfId="1" applyNumberFormat="1" applyFont="1" applyFill="1" applyBorder="1">
      <alignment vertical="center"/>
    </xf>
    <xf numFmtId="183" fontId="12" fillId="0" borderId="24" xfId="1" applyNumberFormat="1" applyFont="1" applyBorder="1" applyAlignment="1">
      <alignment horizontal="right" vertical="center"/>
    </xf>
    <xf numFmtId="183" fontId="12" fillId="0" borderId="21" xfId="1" applyNumberFormat="1" applyFont="1" applyBorder="1" applyAlignment="1">
      <alignment horizontal="right" vertical="center"/>
    </xf>
    <xf numFmtId="180" fontId="11" fillId="0" borderId="2" xfId="1" applyNumberFormat="1" applyFont="1" applyFill="1" applyBorder="1" applyAlignment="1">
      <alignment horizontal="right" vertical="center"/>
    </xf>
    <xf numFmtId="176" fontId="14" fillId="0" borderId="33" xfId="2" applyNumberFormat="1" applyFont="1" applyBorder="1">
      <alignment vertical="center"/>
    </xf>
    <xf numFmtId="176" fontId="7" fillId="4" borderId="33" xfId="2" applyNumberFormat="1" applyFont="1" applyFill="1" applyBorder="1" applyAlignment="1">
      <alignment horizontal="right" vertical="center"/>
    </xf>
    <xf numFmtId="180" fontId="12" fillId="0" borderId="33" xfId="1" applyNumberFormat="1" applyFont="1" applyBorder="1" applyAlignment="1">
      <alignment horizontal="right" vertical="center"/>
    </xf>
    <xf numFmtId="183" fontId="12" fillId="0" borderId="33" xfId="1" applyNumberFormat="1" applyFont="1" applyBorder="1" applyAlignment="1">
      <alignment horizontal="right" vertical="center"/>
    </xf>
    <xf numFmtId="177" fontId="14" fillId="4" borderId="33" xfId="0" applyNumberFormat="1" applyFont="1" applyFill="1" applyBorder="1">
      <alignment vertical="center"/>
    </xf>
    <xf numFmtId="176" fontId="5" fillId="0" borderId="35" xfId="2" applyNumberFormat="1" applyFont="1" applyBorder="1" applyAlignment="1">
      <alignment horizontal="right" vertical="center"/>
    </xf>
    <xf numFmtId="9" fontId="5" fillId="0" borderId="35" xfId="1" applyFont="1" applyBorder="1" applyAlignment="1">
      <alignment horizontal="right" vertical="center"/>
    </xf>
    <xf numFmtId="177" fontId="5" fillId="2" borderId="33" xfId="0" applyNumberFormat="1" applyFont="1" applyFill="1" applyBorder="1">
      <alignment vertical="center"/>
    </xf>
    <xf numFmtId="176" fontId="17" fillId="0" borderId="33" xfId="2" applyNumberFormat="1" applyFont="1" applyFill="1" applyBorder="1" applyAlignment="1">
      <alignment horizontal="right" vertical="center"/>
    </xf>
    <xf numFmtId="177" fontId="21" fillId="0" borderId="34" xfId="0" applyNumberFormat="1" applyFont="1" applyBorder="1">
      <alignment vertical="center"/>
    </xf>
    <xf numFmtId="9" fontId="7" fillId="0" borderId="35" xfId="1" applyFont="1" applyFill="1" applyBorder="1" applyAlignment="1">
      <alignment horizontal="left" vertical="center"/>
    </xf>
    <xf numFmtId="181" fontId="12" fillId="0" borderId="33" xfId="1" applyNumberFormat="1" applyFont="1" applyFill="1" applyBorder="1" applyAlignment="1">
      <alignment horizontal="right" vertical="center"/>
    </xf>
    <xf numFmtId="3" fontId="4" fillId="0" borderId="35" xfId="0" applyNumberFormat="1" applyFont="1" applyBorder="1">
      <alignment vertical="center"/>
    </xf>
    <xf numFmtId="9" fontId="15" fillId="0" borderId="33" xfId="1" applyFont="1" applyFill="1" applyBorder="1">
      <alignment vertical="center"/>
    </xf>
    <xf numFmtId="9" fontId="7" fillId="4" borderId="33" xfId="1" applyFont="1" applyFill="1" applyBorder="1">
      <alignment vertical="center"/>
    </xf>
    <xf numFmtId="180" fontId="12" fillId="0" borderId="33" xfId="1" applyNumberFormat="1" applyFont="1" applyFill="1" applyBorder="1">
      <alignment vertical="center"/>
    </xf>
    <xf numFmtId="181" fontId="12" fillId="0" borderId="33" xfId="1" applyNumberFormat="1" applyFont="1" applyFill="1" applyBorder="1">
      <alignment vertical="center"/>
    </xf>
    <xf numFmtId="9" fontId="15" fillId="4" borderId="33" xfId="1" applyFont="1" applyFill="1" applyBorder="1">
      <alignment vertical="center"/>
    </xf>
    <xf numFmtId="9" fontId="16" fillId="0" borderId="37" xfId="1" applyFont="1" applyFill="1" applyBorder="1">
      <alignment vertical="center"/>
    </xf>
    <xf numFmtId="9" fontId="8" fillId="2" borderId="33" xfId="1" applyFont="1" applyFill="1" applyBorder="1">
      <alignment vertical="center"/>
    </xf>
    <xf numFmtId="9" fontId="16" fillId="0" borderId="33" xfId="1" applyFont="1" applyFill="1" applyBorder="1">
      <alignment vertical="center"/>
    </xf>
    <xf numFmtId="9" fontId="22" fillId="0" borderId="34" xfId="1" applyFont="1" applyFill="1" applyBorder="1">
      <alignment vertical="center"/>
    </xf>
    <xf numFmtId="9" fontId="8" fillId="2" borderId="57" xfId="1" applyFont="1" applyFill="1" applyBorder="1">
      <alignment vertical="center"/>
    </xf>
    <xf numFmtId="182" fontId="4" fillId="4" borderId="35" xfId="1" applyNumberFormat="1" applyFont="1" applyFill="1" applyBorder="1">
      <alignment vertical="center"/>
    </xf>
    <xf numFmtId="0" fontId="7" fillId="0" borderId="35" xfId="0" applyFont="1" applyBorder="1">
      <alignment vertical="center"/>
    </xf>
    <xf numFmtId="9" fontId="15" fillId="0" borderId="37" xfId="1" applyFont="1" applyFill="1" applyBorder="1">
      <alignment vertical="center"/>
    </xf>
    <xf numFmtId="9" fontId="9" fillId="2" borderId="33" xfId="1" applyFont="1" applyFill="1" applyBorder="1">
      <alignment vertical="center"/>
    </xf>
    <xf numFmtId="9" fontId="20" fillId="0" borderId="34" xfId="1" applyFont="1" applyFill="1" applyBorder="1">
      <alignment vertical="center"/>
    </xf>
    <xf numFmtId="9" fontId="9" fillId="2" borderId="57" xfId="1" applyFont="1" applyFill="1" applyBorder="1">
      <alignment vertical="center"/>
    </xf>
    <xf numFmtId="9" fontId="14" fillId="0" borderId="33" xfId="1" applyFont="1" applyFill="1" applyBorder="1">
      <alignment vertical="center"/>
    </xf>
    <xf numFmtId="9" fontId="14" fillId="4" borderId="33" xfId="1" applyFont="1" applyFill="1" applyBorder="1">
      <alignment vertical="center"/>
    </xf>
    <xf numFmtId="9" fontId="9" fillId="2" borderId="34" xfId="1" applyFont="1" applyFill="1" applyBorder="1">
      <alignment vertical="center"/>
    </xf>
    <xf numFmtId="43" fontId="4" fillId="0" borderId="35" xfId="0" applyNumberFormat="1" applyFont="1" applyBorder="1">
      <alignment vertical="center"/>
    </xf>
    <xf numFmtId="0" fontId="10" fillId="3" borderId="58" xfId="0" applyFont="1" applyFill="1" applyBorder="1" applyAlignment="1">
      <alignment horizontal="center" vertical="center"/>
    </xf>
    <xf numFmtId="0" fontId="10" fillId="3" borderId="59" xfId="0" applyFont="1" applyFill="1" applyBorder="1" applyAlignment="1">
      <alignment horizontal="center" vertical="center"/>
    </xf>
    <xf numFmtId="176" fontId="14" fillId="0" borderId="54" xfId="2" applyNumberFormat="1" applyFont="1" applyFill="1" applyBorder="1">
      <alignment vertical="center"/>
    </xf>
    <xf numFmtId="9" fontId="15" fillId="0" borderId="53" xfId="1" applyFont="1" applyFill="1" applyBorder="1" applyAlignment="1">
      <alignment horizontal="right" vertical="center"/>
    </xf>
    <xf numFmtId="176" fontId="7" fillId="4" borderId="54" xfId="2" applyNumberFormat="1" applyFont="1" applyFill="1" applyBorder="1" applyAlignment="1">
      <alignment horizontal="right" vertical="center"/>
    </xf>
    <xf numFmtId="9" fontId="7" fillId="4" borderId="53" xfId="1" applyFont="1" applyFill="1" applyBorder="1" applyAlignment="1">
      <alignment horizontal="right" vertical="center"/>
    </xf>
    <xf numFmtId="176" fontId="14" fillId="0" borderId="54" xfId="2" applyNumberFormat="1" applyFont="1" applyFill="1" applyBorder="1" applyAlignment="1">
      <alignment horizontal="right" vertical="center"/>
    </xf>
    <xf numFmtId="180" fontId="12" fillId="0" borderId="54" xfId="1" applyNumberFormat="1" applyFont="1" applyFill="1" applyBorder="1" applyAlignment="1">
      <alignment horizontal="right" vertical="center"/>
    </xf>
    <xf numFmtId="180" fontId="13" fillId="0" borderId="53" xfId="1" applyNumberFormat="1" applyFont="1" applyFill="1" applyBorder="1" applyAlignment="1">
      <alignment horizontal="right" vertical="center"/>
    </xf>
    <xf numFmtId="181" fontId="12" fillId="0" borderId="54" xfId="1" applyNumberFormat="1" applyFont="1" applyFill="1" applyBorder="1">
      <alignment vertical="center"/>
    </xf>
    <xf numFmtId="176" fontId="14" fillId="4" borderId="54" xfId="2" applyNumberFormat="1" applyFont="1" applyFill="1" applyBorder="1">
      <alignment vertical="center"/>
    </xf>
    <xf numFmtId="9" fontId="15" fillId="4" borderId="53" xfId="1" applyFont="1" applyFill="1" applyBorder="1" applyAlignment="1">
      <alignment horizontal="right" vertical="center"/>
    </xf>
    <xf numFmtId="176" fontId="4" fillId="0" borderId="60" xfId="2" applyNumberFormat="1" applyFont="1" applyBorder="1">
      <alignment vertical="center"/>
    </xf>
    <xf numFmtId="176" fontId="4" fillId="0" borderId="61" xfId="2" applyNumberFormat="1" applyFont="1" applyBorder="1">
      <alignment vertical="center"/>
    </xf>
    <xf numFmtId="0" fontId="10" fillId="3" borderId="62" xfId="0" applyFont="1" applyFill="1" applyBorder="1" applyAlignment="1">
      <alignment horizontal="center" vertical="center"/>
    </xf>
    <xf numFmtId="177" fontId="14" fillId="0" borderId="63" xfId="0" applyNumberFormat="1" applyFont="1" applyBorder="1">
      <alignment vertical="center"/>
    </xf>
    <xf numFmtId="9" fontId="15" fillId="0" borderId="64" xfId="1" applyFont="1" applyFill="1" applyBorder="1" applyAlignment="1">
      <alignment horizontal="right" vertical="center"/>
    </xf>
    <xf numFmtId="177" fontId="5" fillId="2" borderId="54" xfId="0" applyNumberFormat="1" applyFont="1" applyFill="1" applyBorder="1">
      <alignment vertical="center"/>
    </xf>
    <xf numFmtId="9" fontId="9" fillId="2" borderId="53" xfId="1" applyFont="1" applyFill="1" applyBorder="1" applyAlignment="1">
      <alignment horizontal="right" vertical="center"/>
    </xf>
    <xf numFmtId="177" fontId="14" fillId="0" borderId="54" xfId="0" applyNumberFormat="1" applyFont="1" applyBorder="1">
      <alignment vertical="center"/>
    </xf>
    <xf numFmtId="177" fontId="21" fillId="0" borderId="56" xfId="0" applyNumberFormat="1" applyFont="1" applyBorder="1">
      <alignment vertical="center"/>
    </xf>
    <xf numFmtId="9" fontId="20" fillId="0" borderId="55" xfId="1" applyFont="1" applyFill="1" applyBorder="1" applyAlignment="1">
      <alignment horizontal="right" vertical="center"/>
    </xf>
    <xf numFmtId="177" fontId="4" fillId="2" borderId="56" xfId="0" applyNumberFormat="1" applyFont="1" applyFill="1" applyBorder="1">
      <alignment vertical="center"/>
    </xf>
    <xf numFmtId="9" fontId="9" fillId="2" borderId="55" xfId="1" applyFont="1" applyFill="1" applyBorder="1" applyAlignment="1">
      <alignment horizontal="right" vertical="center"/>
    </xf>
    <xf numFmtId="177" fontId="4" fillId="4" borderId="65" xfId="0" applyNumberFormat="1" applyFont="1" applyFill="1" applyBorder="1">
      <alignment vertical="center"/>
    </xf>
    <xf numFmtId="182" fontId="4" fillId="4" borderId="5" xfId="1" applyNumberFormat="1" applyFont="1" applyFill="1" applyBorder="1">
      <alignment vertical="center"/>
    </xf>
    <xf numFmtId="9" fontId="9" fillId="4" borderId="66" xfId="1" applyFont="1" applyFill="1" applyBorder="1" applyAlignment="1">
      <alignment horizontal="right" vertical="center"/>
    </xf>
    <xf numFmtId="177" fontId="4" fillId="2" borderId="67" xfId="0" applyNumberFormat="1" applyFont="1" applyFill="1" applyBorder="1">
      <alignment vertical="center"/>
    </xf>
    <xf numFmtId="9" fontId="9" fillId="2" borderId="68" xfId="1" applyFont="1" applyFill="1" applyBorder="1" applyAlignment="1">
      <alignment horizontal="right" vertical="center"/>
    </xf>
    <xf numFmtId="176" fontId="4" fillId="0" borderId="31" xfId="2" applyNumberFormat="1" applyFont="1" applyFill="1" applyBorder="1">
      <alignment vertical="center"/>
    </xf>
    <xf numFmtId="182" fontId="7" fillId="0" borderId="0" xfId="2" applyNumberFormat="1" applyFont="1" applyFill="1" applyBorder="1">
      <alignment vertical="center"/>
    </xf>
    <xf numFmtId="176" fontId="4" fillId="0" borderId="0" xfId="2" applyNumberFormat="1" applyFont="1" applyFill="1" applyBorder="1">
      <alignment vertical="center"/>
    </xf>
    <xf numFmtId="176" fontId="4" fillId="0" borderId="35" xfId="2" applyNumberFormat="1" applyFont="1" applyFill="1" applyBorder="1">
      <alignment vertical="center"/>
    </xf>
    <xf numFmtId="176" fontId="4" fillId="0" borderId="61" xfId="2" applyNumberFormat="1" applyFont="1" applyFill="1" applyBorder="1">
      <alignment vertical="center"/>
    </xf>
    <xf numFmtId="176" fontId="4" fillId="0" borderId="0" xfId="2" applyNumberFormat="1" applyFont="1" applyFill="1" applyBorder="1" applyAlignment="1">
      <alignment horizontal="right" vertical="center"/>
    </xf>
    <xf numFmtId="176" fontId="5" fillId="0" borderId="35" xfId="2" applyNumberFormat="1" applyFont="1" applyFill="1" applyBorder="1" applyAlignment="1">
      <alignment horizontal="right" vertical="center"/>
    </xf>
    <xf numFmtId="184" fontId="5" fillId="0" borderId="0" xfId="2" applyNumberFormat="1" applyFont="1" applyFill="1" applyBorder="1" applyAlignment="1">
      <alignment horizontal="right" vertical="center"/>
    </xf>
    <xf numFmtId="184" fontId="5" fillId="0" borderId="31" xfId="2" applyNumberFormat="1" applyFont="1" applyFill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3" fontId="4" fillId="0" borderId="35" xfId="0" applyNumberFormat="1" applyFont="1" applyBorder="1" applyAlignment="1">
      <alignment horizontal="right" vertical="center"/>
    </xf>
    <xf numFmtId="0" fontId="10" fillId="3" borderId="40" xfId="0" applyFont="1" applyFill="1" applyBorder="1" applyAlignment="1">
      <alignment horizontal="right" vertical="center"/>
    </xf>
    <xf numFmtId="176" fontId="4" fillId="0" borderId="35" xfId="2" applyNumberFormat="1" applyFont="1" applyFill="1" applyBorder="1" applyAlignment="1">
      <alignment horizontal="right" vertical="center"/>
    </xf>
    <xf numFmtId="176" fontId="4" fillId="0" borderId="35" xfId="2" applyNumberFormat="1" applyFont="1" applyBorder="1" applyAlignment="1">
      <alignment horizontal="right" vertical="center"/>
    </xf>
    <xf numFmtId="0" fontId="10" fillId="3" borderId="41" xfId="0" applyFont="1" applyFill="1" applyBorder="1" applyAlignment="1">
      <alignment horizontal="right" vertical="center"/>
    </xf>
    <xf numFmtId="9" fontId="16" fillId="0" borderId="37" xfId="1" applyFont="1" applyFill="1" applyBorder="1" applyAlignment="1">
      <alignment horizontal="right" vertical="center"/>
    </xf>
    <xf numFmtId="9" fontId="8" fillId="2" borderId="33" xfId="1" applyFont="1" applyFill="1" applyBorder="1" applyAlignment="1">
      <alignment horizontal="right" vertical="center"/>
    </xf>
    <xf numFmtId="9" fontId="16" fillId="0" borderId="33" xfId="1" applyFont="1" applyFill="1" applyBorder="1" applyAlignment="1">
      <alignment horizontal="right" vertical="center"/>
    </xf>
    <xf numFmtId="9" fontId="22" fillId="0" borderId="34" xfId="1" applyFont="1" applyFill="1" applyBorder="1" applyAlignment="1">
      <alignment horizontal="right" vertical="center"/>
    </xf>
    <xf numFmtId="9" fontId="8" fillId="2" borderId="57" xfId="1" applyFont="1" applyFill="1" applyBorder="1" applyAlignment="1">
      <alignment horizontal="right" vertical="center"/>
    </xf>
    <xf numFmtId="182" fontId="4" fillId="4" borderId="35" xfId="1" applyNumberFormat="1" applyFont="1" applyFill="1" applyBorder="1" applyAlignment="1">
      <alignment horizontal="right" vertical="center"/>
    </xf>
    <xf numFmtId="0" fontId="7" fillId="0" borderId="35" xfId="0" applyFont="1" applyBorder="1" applyAlignment="1">
      <alignment horizontal="right" vertical="center"/>
    </xf>
    <xf numFmtId="9" fontId="7" fillId="0" borderId="35" xfId="1" applyFont="1" applyFill="1" applyBorder="1" applyAlignment="1">
      <alignment horizontal="right" vertical="center"/>
    </xf>
    <xf numFmtId="9" fontId="24" fillId="0" borderId="21" xfId="1" applyFont="1" applyFill="1" applyBorder="1">
      <alignment vertical="center"/>
    </xf>
  </cellXfs>
  <cellStyles count="3">
    <cellStyle name="백분율" xfId="1" builtinId="5"/>
    <cellStyle name="쉼표 [0]" xfId="2" builtinId="6"/>
    <cellStyle name="표준" xfId="0" builtinId="0"/>
  </cellStyles>
  <dxfs count="27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rgb="FF9C0006"/>
      </font>
      <fill>
        <patternFill>
          <bgColor rgb="FFFFC7CE"/>
        </patternFill>
      </fill>
    </dxf>
    <dxf>
      <font>
        <color rgb="FF0070C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W43"/>
  <sheetViews>
    <sheetView view="pageBreakPreview" zoomScale="85" zoomScaleNormal="70" zoomScaleSheetLayoutView="85" workbookViewId="0">
      <pane xSplit="1" ySplit="3" topLeftCell="BR4" activePane="bottomRight" state="frozen"/>
      <selection pane="topRight" activeCell="B1" sqref="B1"/>
      <selection pane="bottomLeft" activeCell="A4" sqref="A4"/>
      <selection pane="bottomRight" activeCell="BR8" sqref="BR8"/>
    </sheetView>
  </sheetViews>
  <sheetFormatPr defaultColWidth="7.59765625" defaultRowHeight="16.95" customHeight="1" outlineLevelCol="2" x14ac:dyDescent="0.4"/>
  <cols>
    <col min="1" max="1" width="17.69921875" style="15" customWidth="1"/>
    <col min="2" max="6" width="7.59765625" style="15" customWidth="1" outlineLevel="1"/>
    <col min="7" max="9" width="7.59765625" style="15" hidden="1" customWidth="1" outlineLevel="2"/>
    <col min="10" max="10" width="7.59765625" style="187" hidden="1" customWidth="1" outlineLevel="2"/>
    <col min="11" max="11" width="7.59765625" style="15" customWidth="1" outlineLevel="1" collapsed="1"/>
    <col min="12" max="13" width="7.59765625" style="15" customWidth="1" outlineLevel="1"/>
    <col min="14" max="16" width="7.59765625" style="15" hidden="1" customWidth="1" outlineLevel="2"/>
    <col min="17" max="17" width="7.59765625" style="360" hidden="1" customWidth="1" outlineLevel="2"/>
    <col min="18" max="20" width="7.59765625" style="15" hidden="1" customWidth="1" outlineLevel="2"/>
    <col min="21" max="21" width="7.59765625" style="187" hidden="1" customWidth="1" outlineLevel="2"/>
    <col min="22" max="24" width="7.59765625" style="15" hidden="1" customWidth="1" outlineLevel="2"/>
    <col min="25" max="25" width="7.59765625" style="187" hidden="1" customWidth="1" outlineLevel="2"/>
    <col min="26" max="28" width="7.59765625" style="15" hidden="1" customWidth="1" outlineLevel="2"/>
    <col min="29" max="29" width="7.59765625" style="187" hidden="1" customWidth="1" outlineLevel="2"/>
    <col min="30" max="30" width="7.59765625" style="15" customWidth="1" outlineLevel="1" collapsed="1"/>
    <col min="31" max="31" width="7.59765625" style="15" customWidth="1" outlineLevel="1"/>
    <col min="32" max="32" width="7.59765625" style="15" customWidth="1" outlineLevel="1" collapsed="1"/>
    <col min="33" max="35" width="7.59765625" style="15" hidden="1" customWidth="1" outlineLevel="2"/>
    <col min="36" max="36" width="7.59765625" style="187" hidden="1" customWidth="1" outlineLevel="2"/>
    <col min="37" max="39" width="7.59765625" style="15" hidden="1" customWidth="1" outlineLevel="2"/>
    <col min="40" max="40" width="7.59765625" style="187" hidden="1" customWidth="1" outlineLevel="2"/>
    <col min="41" max="43" width="7.59765625" style="15" hidden="1" customWidth="1" outlineLevel="2"/>
    <col min="44" max="44" width="7.59765625" style="187" hidden="1" customWidth="1" outlineLevel="2"/>
    <col min="45" max="47" width="7.59765625" style="15" hidden="1" customWidth="1" outlineLevel="2"/>
    <col min="48" max="48" width="7.59765625" style="187" hidden="1" customWidth="1" outlineLevel="2"/>
    <col min="49" max="49" width="7.59765625" style="15" customWidth="1" outlineLevel="1" collapsed="1"/>
    <col min="50" max="51" width="7.59765625" style="15" customWidth="1" outlineLevel="1"/>
    <col min="52" max="54" width="7.59765625" style="15" hidden="1" customWidth="1" outlineLevel="2"/>
    <col min="55" max="55" width="7.59765625" style="187" hidden="1" customWidth="1" outlineLevel="2"/>
    <col min="56" max="58" width="7.59765625" style="15" hidden="1" customWidth="1" outlineLevel="2"/>
    <col min="59" max="59" width="7.59765625" style="187" hidden="1" customWidth="1" outlineLevel="2"/>
    <col min="60" max="62" width="7.59765625" style="15" hidden="1" customWidth="1" outlineLevel="2"/>
    <col min="63" max="63" width="7.59765625" style="187" hidden="1" customWidth="1" outlineLevel="2"/>
    <col min="64" max="66" width="7.59765625" style="15" hidden="1" customWidth="1" outlineLevel="2"/>
    <col min="67" max="67" width="7.59765625" style="187" hidden="1" customWidth="1" outlineLevel="2"/>
    <col min="68" max="68" width="7.59765625" style="15" customWidth="1" outlineLevel="1" collapsed="1"/>
    <col min="69" max="70" width="7.59765625" style="15" customWidth="1" outlineLevel="1"/>
    <col min="71" max="73" width="7.59765625" style="15" hidden="1" customWidth="1" outlineLevel="2"/>
    <col min="74" max="74" width="7.59765625" style="187" hidden="1" customWidth="1" outlineLevel="2"/>
    <col min="75" max="77" width="7.59765625" style="15" hidden="1" customWidth="1" outlineLevel="2"/>
    <col min="78" max="78" width="7.59765625" style="187" hidden="1" customWidth="1" outlineLevel="2"/>
    <col min="79" max="81" width="7.59765625" style="15" hidden="1" customWidth="1" outlineLevel="2"/>
    <col min="82" max="82" width="7.59765625" style="187" hidden="1" customWidth="1" outlineLevel="2"/>
    <col min="83" max="85" width="7.59765625" style="15" hidden="1" customWidth="1" outlineLevel="2"/>
    <col min="86" max="86" width="7.59765625" style="187" hidden="1" customWidth="1" outlineLevel="2"/>
    <col min="87" max="88" width="7.59765625" style="15" customWidth="1" outlineLevel="1" collapsed="1"/>
    <col min="89" max="92" width="7.59765625" style="15" customWidth="1" outlineLevel="1"/>
    <col min="93" max="93" width="7.59765625" style="187" customWidth="1" outlineLevel="1"/>
    <col min="94" max="96" width="7.59765625" style="15" customWidth="1" outlineLevel="1"/>
    <col min="97" max="97" width="7.59765625" style="187" customWidth="1" outlineLevel="1"/>
    <col min="98" max="100" width="7.59765625" style="15" customWidth="1" outlineLevel="1"/>
    <col min="101" max="101" width="7.59765625" style="187" customWidth="1" outlineLevel="1"/>
    <col min="102" max="104" width="7.59765625" style="15" customWidth="1" outlineLevel="1"/>
    <col min="105" max="105" width="7.59765625" style="187" customWidth="1" outlineLevel="1"/>
    <col min="106" max="109" width="7.59765625" style="15"/>
    <col min="110" max="110" width="7.8984375" style="15" customWidth="1"/>
    <col min="111" max="111" width="7.59765625" style="15"/>
    <col min="112" max="112" width="7.59765625" style="187"/>
    <col min="113" max="113" width="7.59765625" style="15"/>
    <col min="114" max="114" width="7.8984375" style="15" customWidth="1"/>
    <col min="115" max="115" width="7.59765625" style="15"/>
    <col min="116" max="116" width="7.59765625" style="187"/>
    <col min="117" max="119" width="7.59765625" style="15"/>
    <col min="120" max="120" width="7.59765625" style="187"/>
    <col min="121" max="123" width="7.59765625" style="15"/>
    <col min="124" max="124" width="7.59765625" style="187"/>
    <col min="125" max="16384" width="7.59765625" style="15"/>
  </cols>
  <sheetData>
    <row r="1" spans="1:127" ht="16.95" customHeight="1" x14ac:dyDescent="0.4">
      <c r="Z1" s="187"/>
    </row>
    <row r="2" spans="1:127" ht="16.95" customHeight="1" thickBot="1" x14ac:dyDescent="0.45">
      <c r="A2" s="15" t="s">
        <v>0</v>
      </c>
      <c r="Q2" s="361"/>
      <c r="U2" s="301"/>
    </row>
    <row r="3" spans="1:127" ht="16.95" customHeight="1" x14ac:dyDescent="0.4">
      <c r="A3" s="94" t="s">
        <v>1</v>
      </c>
      <c r="B3" s="96">
        <v>2014</v>
      </c>
      <c r="C3" s="207">
        <v>2015</v>
      </c>
      <c r="D3" s="283" t="s">
        <v>16</v>
      </c>
      <c r="E3" s="207">
        <v>2016</v>
      </c>
      <c r="F3" s="283" t="s">
        <v>16</v>
      </c>
      <c r="G3" s="94" t="s">
        <v>2</v>
      </c>
      <c r="H3" s="250" t="s">
        <v>3</v>
      </c>
      <c r="I3" s="250" t="s">
        <v>4</v>
      </c>
      <c r="J3" s="198" t="s">
        <v>5</v>
      </c>
      <c r="K3" s="322">
        <v>2017</v>
      </c>
      <c r="L3" s="8" t="s">
        <v>38</v>
      </c>
      <c r="M3" s="198" t="s">
        <v>7</v>
      </c>
      <c r="N3" s="250" t="s">
        <v>6</v>
      </c>
      <c r="O3" s="179" t="s">
        <v>38</v>
      </c>
      <c r="P3" s="250" t="s">
        <v>7</v>
      </c>
      <c r="Q3" s="362" t="s">
        <v>9</v>
      </c>
      <c r="R3" s="250" t="s">
        <v>8</v>
      </c>
      <c r="S3" s="179" t="s">
        <v>38</v>
      </c>
      <c r="T3" s="250" t="s">
        <v>7</v>
      </c>
      <c r="U3" s="198" t="s">
        <v>9</v>
      </c>
      <c r="V3" s="250" t="s">
        <v>10</v>
      </c>
      <c r="W3" s="179" t="s">
        <v>38</v>
      </c>
      <c r="X3" s="250" t="s">
        <v>7</v>
      </c>
      <c r="Y3" s="198" t="s">
        <v>9</v>
      </c>
      <c r="Z3" s="250" t="s">
        <v>11</v>
      </c>
      <c r="AA3" s="179" t="s">
        <v>38</v>
      </c>
      <c r="AB3" s="250" t="s">
        <v>7</v>
      </c>
      <c r="AC3" s="250" t="s">
        <v>9</v>
      </c>
      <c r="AD3" s="322">
        <v>2018</v>
      </c>
      <c r="AE3" s="8" t="s">
        <v>38</v>
      </c>
      <c r="AF3" s="323" t="s">
        <v>7</v>
      </c>
      <c r="AG3" s="250" t="s">
        <v>12</v>
      </c>
      <c r="AH3" s="179" t="s">
        <v>38</v>
      </c>
      <c r="AI3" s="250" t="s">
        <v>7</v>
      </c>
      <c r="AJ3" s="198" t="s">
        <v>9</v>
      </c>
      <c r="AK3" s="250" t="s">
        <v>13</v>
      </c>
      <c r="AL3" s="179" t="s">
        <v>38</v>
      </c>
      <c r="AM3" s="250" t="s">
        <v>7</v>
      </c>
      <c r="AN3" s="198" t="s">
        <v>9</v>
      </c>
      <c r="AO3" s="250" t="s">
        <v>14</v>
      </c>
      <c r="AP3" s="179" t="s">
        <v>38</v>
      </c>
      <c r="AQ3" s="250" t="s">
        <v>7</v>
      </c>
      <c r="AR3" s="198" t="s">
        <v>9</v>
      </c>
      <c r="AS3" s="250" t="s">
        <v>15</v>
      </c>
      <c r="AT3" s="179" t="s">
        <v>38</v>
      </c>
      <c r="AU3" s="250" t="s">
        <v>7</v>
      </c>
      <c r="AV3" s="250" t="s">
        <v>9</v>
      </c>
      <c r="AW3" s="322">
        <v>2019</v>
      </c>
      <c r="AX3" s="8" t="s">
        <v>38</v>
      </c>
      <c r="AY3" s="323" t="s">
        <v>16</v>
      </c>
      <c r="AZ3" s="94" t="s">
        <v>17</v>
      </c>
      <c r="BA3" s="179" t="s">
        <v>38</v>
      </c>
      <c r="BB3" s="250" t="s">
        <v>7</v>
      </c>
      <c r="BC3" s="198" t="s">
        <v>9</v>
      </c>
      <c r="BD3" s="250" t="s">
        <v>18</v>
      </c>
      <c r="BE3" s="179" t="s">
        <v>38</v>
      </c>
      <c r="BF3" s="250" t="s">
        <v>7</v>
      </c>
      <c r="BG3" s="198" t="s">
        <v>9</v>
      </c>
      <c r="BH3" s="250" t="s">
        <v>19</v>
      </c>
      <c r="BI3" s="179" t="s">
        <v>38</v>
      </c>
      <c r="BJ3" s="250" t="s">
        <v>7</v>
      </c>
      <c r="BK3" s="198" t="s">
        <v>9</v>
      </c>
      <c r="BL3" s="250" t="s">
        <v>20</v>
      </c>
      <c r="BM3" s="179" t="s">
        <v>38</v>
      </c>
      <c r="BN3" s="250" t="s">
        <v>7</v>
      </c>
      <c r="BO3" s="250" t="s">
        <v>9</v>
      </c>
      <c r="BP3" s="322">
        <v>2020</v>
      </c>
      <c r="BQ3" s="8" t="s">
        <v>38</v>
      </c>
      <c r="BR3" s="323" t="s">
        <v>16</v>
      </c>
      <c r="BS3" s="94" t="s">
        <v>21</v>
      </c>
      <c r="BT3" s="179" t="s">
        <v>38</v>
      </c>
      <c r="BU3" s="250" t="s">
        <v>7</v>
      </c>
      <c r="BV3" s="198" t="s">
        <v>9</v>
      </c>
      <c r="BW3" s="250" t="s">
        <v>22</v>
      </c>
      <c r="BX3" s="179" t="s">
        <v>38</v>
      </c>
      <c r="BY3" s="250" t="s">
        <v>7</v>
      </c>
      <c r="BZ3" s="198" t="s">
        <v>9</v>
      </c>
      <c r="CA3" s="250" t="s">
        <v>23</v>
      </c>
      <c r="CB3" s="179" t="s">
        <v>38</v>
      </c>
      <c r="CC3" s="250" t="s">
        <v>7</v>
      </c>
      <c r="CD3" s="198" t="s">
        <v>9</v>
      </c>
      <c r="CE3" s="250" t="s">
        <v>24</v>
      </c>
      <c r="CF3" s="179" t="s">
        <v>38</v>
      </c>
      <c r="CG3" s="250" t="s">
        <v>7</v>
      </c>
      <c r="CH3" s="250" t="s">
        <v>9</v>
      </c>
      <c r="CI3" s="322">
        <v>2021</v>
      </c>
      <c r="CJ3" s="8" t="s">
        <v>38</v>
      </c>
      <c r="CK3" s="323" t="s">
        <v>16</v>
      </c>
      <c r="CL3" s="94" t="s">
        <v>25</v>
      </c>
      <c r="CM3" s="179" t="s">
        <v>38</v>
      </c>
      <c r="CN3" s="250" t="s">
        <v>7</v>
      </c>
      <c r="CO3" s="198" t="s">
        <v>9</v>
      </c>
      <c r="CP3" s="250" t="s">
        <v>26</v>
      </c>
      <c r="CQ3" s="179" t="s">
        <v>38</v>
      </c>
      <c r="CR3" s="250" t="s">
        <v>7</v>
      </c>
      <c r="CS3" s="198" t="s">
        <v>9</v>
      </c>
      <c r="CT3" s="250" t="s">
        <v>27</v>
      </c>
      <c r="CU3" s="179" t="s">
        <v>38</v>
      </c>
      <c r="CV3" s="250" t="s">
        <v>7</v>
      </c>
      <c r="CW3" s="198" t="s">
        <v>9</v>
      </c>
      <c r="CX3" s="250" t="s">
        <v>28</v>
      </c>
      <c r="CY3" s="179" t="s">
        <v>38</v>
      </c>
      <c r="CZ3" s="250" t="s">
        <v>7</v>
      </c>
      <c r="DA3" s="250" t="s">
        <v>9</v>
      </c>
      <c r="DB3" s="322">
        <v>2022</v>
      </c>
      <c r="DC3" s="8" t="s">
        <v>38</v>
      </c>
      <c r="DD3" s="323" t="s">
        <v>16</v>
      </c>
      <c r="DE3" s="94" t="s">
        <v>29</v>
      </c>
      <c r="DF3" s="179" t="s">
        <v>38</v>
      </c>
      <c r="DG3" s="250" t="s">
        <v>7</v>
      </c>
      <c r="DH3" s="198" t="s">
        <v>9</v>
      </c>
      <c r="DI3" s="250" t="s">
        <v>30</v>
      </c>
      <c r="DJ3" s="179" t="s">
        <v>38</v>
      </c>
      <c r="DK3" s="250" t="s">
        <v>7</v>
      </c>
      <c r="DL3" s="198" t="s">
        <v>9</v>
      </c>
      <c r="DM3" s="250" t="s">
        <v>197</v>
      </c>
      <c r="DN3" s="179" t="s">
        <v>38</v>
      </c>
      <c r="DO3" s="250" t="s">
        <v>7</v>
      </c>
      <c r="DP3" s="198" t="s">
        <v>9</v>
      </c>
      <c r="DQ3" s="250" t="s">
        <v>199</v>
      </c>
      <c r="DR3" s="179" t="s">
        <v>38</v>
      </c>
      <c r="DS3" s="250" t="s">
        <v>7</v>
      </c>
      <c r="DT3" s="250" t="s">
        <v>9</v>
      </c>
      <c r="DU3" s="322">
        <v>2023</v>
      </c>
      <c r="DV3" s="8" t="s">
        <v>38</v>
      </c>
      <c r="DW3" s="323" t="s">
        <v>16</v>
      </c>
    </row>
    <row r="4" spans="1:127" s="9" customFormat="1" ht="16.95" customHeight="1" x14ac:dyDescent="0.4">
      <c r="A4" s="49" t="s">
        <v>31</v>
      </c>
      <c r="B4" s="208">
        <v>13.058</v>
      </c>
      <c r="C4" s="221">
        <v>14.996</v>
      </c>
      <c r="D4" s="222">
        <f>C4/B4-1</f>
        <v>0.14841476489508354</v>
      </c>
      <c r="E4" s="221">
        <v>27.242999999999999</v>
      </c>
      <c r="F4" s="222">
        <f>E4/C4-1</f>
        <v>0.81668444918644956</v>
      </c>
      <c r="G4" s="251">
        <v>8.6300000000000008</v>
      </c>
      <c r="H4" s="50">
        <v>9.7100000000000009</v>
      </c>
      <c r="I4" s="50">
        <v>8.52</v>
      </c>
      <c r="J4" s="289">
        <v>8.01</v>
      </c>
      <c r="K4" s="324">
        <f t="shared" ref="K4:K15" si="0">G4+H4+I4+J4</f>
        <v>34.870000000000005</v>
      </c>
      <c r="L4" s="158">
        <f t="shared" ref="L4:L15" si="1">K4/K$4</f>
        <v>1</v>
      </c>
      <c r="M4" s="325">
        <f>K4/E4-1</f>
        <v>0.27996182505597789</v>
      </c>
      <c r="N4" s="51">
        <v>9.83</v>
      </c>
      <c r="O4" s="158">
        <f t="shared" ref="O4:O15" si="2">N4/N$4</f>
        <v>1</v>
      </c>
      <c r="P4" s="52">
        <f>N4/G4-1</f>
        <v>0.13904982618771711</v>
      </c>
      <c r="Q4" s="199">
        <f>N4/J4-1</f>
        <v>0.2272159800249689</v>
      </c>
      <c r="R4" s="51">
        <v>11.46</v>
      </c>
      <c r="S4" s="158">
        <f t="shared" ref="S4:S15" si="3">R4/R$4</f>
        <v>1</v>
      </c>
      <c r="T4" s="52">
        <f>R4/H4-1</f>
        <v>0.18022657054582902</v>
      </c>
      <c r="U4" s="302">
        <f>R4/N4-1</f>
        <v>0.16581892166836232</v>
      </c>
      <c r="V4" s="51">
        <v>11.61</v>
      </c>
      <c r="W4" s="158">
        <f t="shared" ref="W4:W15" si="4">V4/V$4</f>
        <v>1</v>
      </c>
      <c r="X4" s="52">
        <f>V4/I4-1</f>
        <v>0.36267605633802824</v>
      </c>
      <c r="Y4" s="302">
        <f>V4/R4-1</f>
        <v>1.308900523560208E-2</v>
      </c>
      <c r="Z4" s="51">
        <f>AD4-N4-R4-V4</f>
        <v>14.582000000000001</v>
      </c>
      <c r="AA4" s="158">
        <f t="shared" ref="AA4:AA15" si="5">Z4/Z$4</f>
        <v>1</v>
      </c>
      <c r="AB4" s="52">
        <f>Z4/J4-1</f>
        <v>0.82047440699126106</v>
      </c>
      <c r="AC4" s="52">
        <f>Z4/V4-1</f>
        <v>0.25598621877691663</v>
      </c>
      <c r="AD4" s="324">
        <v>47.481999999999999</v>
      </c>
      <c r="AE4" s="158">
        <f t="shared" ref="AE4:AE15" si="6">AD4/AD$4</f>
        <v>1</v>
      </c>
      <c r="AF4" s="325">
        <f>AD4/K4-1</f>
        <v>0.36168626326355002</v>
      </c>
      <c r="AG4" s="51">
        <v>16.193000000000001</v>
      </c>
      <c r="AH4" s="158">
        <f t="shared" ref="AH4:AH15" si="7">AG4/AG$4</f>
        <v>1</v>
      </c>
      <c r="AI4" s="52">
        <f>AG4/N4-1</f>
        <v>0.64730417090539172</v>
      </c>
      <c r="AJ4" s="318">
        <f>AG4/Z4-1</f>
        <v>0.11047867233575648</v>
      </c>
      <c r="AK4" s="51">
        <v>21.561</v>
      </c>
      <c r="AL4" s="158">
        <f t="shared" ref="AL4:AL15" si="8">AK4/AK$4</f>
        <v>1</v>
      </c>
      <c r="AM4" s="52">
        <f>AK4/R4-1</f>
        <v>0.88141361256544482</v>
      </c>
      <c r="AN4" s="318">
        <f>AK4/AG4-1</f>
        <v>0.33150126597912677</v>
      </c>
      <c r="AO4" s="51">
        <v>21.058471827999998</v>
      </c>
      <c r="AP4" s="158">
        <f t="shared" ref="AP4:AP15" si="9">AO4/AO$4</f>
        <v>1</v>
      </c>
      <c r="AQ4" s="52">
        <f>AO4/V4-1</f>
        <v>0.81382186287683034</v>
      </c>
      <c r="AR4" s="318">
        <f>AO4/AK4-1</f>
        <v>-2.3307275729326227E-2</v>
      </c>
      <c r="AS4" s="51">
        <f>AW4-AG4-AK4-AO4</f>
        <v>22.320528172</v>
      </c>
      <c r="AT4" s="158">
        <f t="shared" ref="AT4:AT15" si="10">AS4/AS$4</f>
        <v>1</v>
      </c>
      <c r="AU4" s="52">
        <f>AS4/Z4-1</f>
        <v>0.53069045206418863</v>
      </c>
      <c r="AV4" s="45">
        <f>AS4/AO4-1</f>
        <v>5.9931050757535687E-2</v>
      </c>
      <c r="AW4" s="324">
        <v>81.132999999999996</v>
      </c>
      <c r="AX4" s="158">
        <f t="shared" ref="AX4:AX15" si="11">AW4/AW$4</f>
        <v>1</v>
      </c>
      <c r="AY4" s="325">
        <f t="shared" ref="AY4:AY8" si="12">AW4/AD4-1</f>
        <v>0.70871066930626325</v>
      </c>
      <c r="AZ4" s="180">
        <v>21.428999999999998</v>
      </c>
      <c r="BA4" s="158">
        <f t="shared" ref="BA4:BA15" si="13">AZ4/AZ$4</f>
        <v>1</v>
      </c>
      <c r="BB4" s="52">
        <f>AZ4/AG4-1</f>
        <v>0.32334959550423004</v>
      </c>
      <c r="BC4" s="318">
        <f>AZ4/AS4-1</f>
        <v>-3.9942073284734314E-2</v>
      </c>
      <c r="BD4" s="51">
        <v>14.590129124000001</v>
      </c>
      <c r="BE4" s="158">
        <f t="shared" ref="BE4:BE15" si="14">BD4/BD$4</f>
        <v>1</v>
      </c>
      <c r="BF4" s="52">
        <f>BD4/AK4-1</f>
        <v>-0.32330925634247021</v>
      </c>
      <c r="BG4" s="318">
        <f>BD4/AZ4-1</f>
        <v>-0.31914092472817202</v>
      </c>
      <c r="BH4" s="51">
        <v>19.564</v>
      </c>
      <c r="BI4" s="158">
        <f t="shared" ref="BI4:BI15" si="15">BH4/BH$4</f>
        <v>1</v>
      </c>
      <c r="BJ4" s="52">
        <f>BH4/AO4-1</f>
        <v>-7.0967724543663291E-2</v>
      </c>
      <c r="BK4" s="318">
        <f>BH4/BD4-1</f>
        <v>0.34090657003290259</v>
      </c>
      <c r="BL4" s="51">
        <f>BP4-AZ4-BD4-BH4</f>
        <v>20.877870875999996</v>
      </c>
      <c r="BM4" s="158">
        <f t="shared" ref="BM4:BM15" si="16">BL4/BL$4</f>
        <v>1</v>
      </c>
      <c r="BN4" s="52">
        <f>BL4/AS4-1</f>
        <v>-6.4633654046311828E-2</v>
      </c>
      <c r="BO4" s="45">
        <f>BL4/BH4-1</f>
        <v>6.7157579022694591E-2</v>
      </c>
      <c r="BP4" s="324">
        <v>76.460999999999999</v>
      </c>
      <c r="BQ4" s="158">
        <f t="shared" ref="BQ4:BQ15" si="17">BP4/BP$4</f>
        <v>1</v>
      </c>
      <c r="BR4" s="325">
        <f t="shared" ref="BR4:BR17" si="18">BP4/AW4-1</f>
        <v>-5.7584460084059486E-2</v>
      </c>
      <c r="BS4" s="180">
        <v>21.32</v>
      </c>
      <c r="BT4" s="158">
        <f t="shared" ref="BT4:BT15" si="19">BS4/BS$4</f>
        <v>1</v>
      </c>
      <c r="BU4" s="52">
        <f>BS4/AZ4-1</f>
        <v>-5.0865649353678544E-3</v>
      </c>
      <c r="BV4" s="318">
        <f>BS4/BL4-1</f>
        <v>2.1176925876491115E-2</v>
      </c>
      <c r="BW4" s="51">
        <f>50.81-BS4</f>
        <v>29.490000000000002</v>
      </c>
      <c r="BX4" s="158">
        <f t="shared" ref="BX4:BX15" si="20">BW4/BW$4</f>
        <v>1</v>
      </c>
      <c r="BY4" s="52">
        <f>BW4/BD4-1</f>
        <v>1.021229541518621</v>
      </c>
      <c r="BZ4" s="318">
        <f>BW4/BS4-1</f>
        <v>0.38320825515947465</v>
      </c>
      <c r="CA4" s="51">
        <v>24.466000000000001</v>
      </c>
      <c r="CB4" s="158">
        <f t="shared" ref="CB4:CB15" si="21">CA4/CA$4</f>
        <v>1</v>
      </c>
      <c r="CC4" s="52">
        <f>CA4/BH4-1</f>
        <v>0.25056225720711511</v>
      </c>
      <c r="CD4" s="318">
        <f>CA4/BW4-1</f>
        <v>-0.17036283485927439</v>
      </c>
      <c r="CE4" s="51">
        <f>100.596-CA4-BW4-BS4</f>
        <v>25.319999999999993</v>
      </c>
      <c r="CF4" s="158">
        <f t="shared" ref="CF4:CF15" si="22">CE4/CE$4</f>
        <v>1</v>
      </c>
      <c r="CG4" s="52">
        <f>CE4/BL4-1</f>
        <v>0.2127673434893409</v>
      </c>
      <c r="CH4" s="45">
        <f>CE4/CA4-1</f>
        <v>3.4905583258399098E-2</v>
      </c>
      <c r="CI4" s="324">
        <f t="shared" ref="CI4:CI13" si="23">BS4+BW4+CA4+CE4</f>
        <v>100.596</v>
      </c>
      <c r="CJ4" s="158">
        <f t="shared" ref="CJ4:CJ15" si="24">CI4/CI$4</f>
        <v>1</v>
      </c>
      <c r="CK4" s="325">
        <f t="shared" ref="CK4:CK17" si="25">CI4/BP4-1</f>
        <v>0.31565111625534592</v>
      </c>
      <c r="CL4" s="180">
        <v>35.381</v>
      </c>
      <c r="CM4" s="158">
        <f t="shared" ref="CM4:CM15" si="26">CL4/CL$4</f>
        <v>1</v>
      </c>
      <c r="CN4" s="52">
        <f>CL4/BS4-1</f>
        <v>0.65952157598499062</v>
      </c>
      <c r="CO4" s="318">
        <f>CL4/CE4-1</f>
        <v>0.3973538704581363</v>
      </c>
      <c r="CP4" s="51">
        <v>32.683999999999997</v>
      </c>
      <c r="CQ4" s="158">
        <f t="shared" ref="CQ4:CQ15" si="27">CP4/CP$4</f>
        <v>1</v>
      </c>
      <c r="CR4" s="52">
        <f>CP4/BW4-1</f>
        <v>0.10830790098338405</v>
      </c>
      <c r="CS4" s="318">
        <f>CP4/CL4-1</f>
        <v>-7.6227353664396258E-2</v>
      </c>
      <c r="CT4" s="51">
        <v>33.268000000000001</v>
      </c>
      <c r="CU4" s="158">
        <f t="shared" ref="CU4:CU15" si="28">CT4/CT$4</f>
        <v>1</v>
      </c>
      <c r="CV4" s="52">
        <f>CT4/CA4-1</f>
        <v>0.35976457124172323</v>
      </c>
      <c r="CW4" s="318">
        <f>CT4/CP4-1</f>
        <v>1.7868070003671521E-2</v>
      </c>
      <c r="CX4" s="51">
        <v>40.466999999999999</v>
      </c>
      <c r="CY4" s="158">
        <f t="shared" ref="CY4:CY15" si="29">CX4/CX$4</f>
        <v>1</v>
      </c>
      <c r="CZ4" s="52">
        <f>CX4/CE4-1</f>
        <v>0.59822274881516635</v>
      </c>
      <c r="DA4" s="45">
        <f>CX4/CT4-1</f>
        <v>0.21639413249969941</v>
      </c>
      <c r="DB4" s="324">
        <f t="shared" ref="DB4:DB13" si="30">CL4+CP4+CT4+CX4</f>
        <v>141.80000000000001</v>
      </c>
      <c r="DC4" s="158">
        <f t="shared" ref="DC4:DC15" si="31">DB4/DB$4</f>
        <v>1</v>
      </c>
      <c r="DD4" s="325">
        <f t="shared" ref="DD4:DD17" si="32">DB4/CI4-1</f>
        <v>0.40959879120442166</v>
      </c>
      <c r="DE4" s="180">
        <v>38.973999999999997</v>
      </c>
      <c r="DF4" s="158">
        <f t="shared" ref="DF4:DF15" si="33">DE4/DE$4</f>
        <v>1</v>
      </c>
      <c r="DG4" s="52">
        <f>DE4/CL4-1</f>
        <v>0.10155168028037642</v>
      </c>
      <c r="DH4" s="318">
        <f>DE4/CX4-1</f>
        <v>-3.6894259520102834E-2</v>
      </c>
      <c r="DI4" s="51">
        <v>45.895000000000003</v>
      </c>
      <c r="DJ4" s="158">
        <f t="shared" ref="DJ4:DJ15" si="34">DI4/DI$4</f>
        <v>1</v>
      </c>
      <c r="DK4" s="52">
        <f>DI4/CP4-1</f>
        <v>0.40420389181250793</v>
      </c>
      <c r="DL4" s="318">
        <f>DI4/DE4-1</f>
        <v>0.17757992507825748</v>
      </c>
      <c r="DM4" s="51">
        <v>48.246000000000002</v>
      </c>
      <c r="DN4" s="158">
        <f t="shared" ref="DN4:DN15" si="35">DM4/DM$4</f>
        <v>1</v>
      </c>
      <c r="DO4" s="52">
        <f>DM4/CT4-1</f>
        <v>0.45022243597451017</v>
      </c>
      <c r="DP4" s="318">
        <f>DM4/DI4-1</f>
        <v>5.1225623706286028E-2</v>
      </c>
      <c r="DQ4" s="45"/>
      <c r="DR4" s="374"/>
      <c r="DS4" s="52"/>
      <c r="DT4" s="45"/>
      <c r="DU4" s="324"/>
      <c r="DV4" s="158"/>
      <c r="DW4" s="325"/>
    </row>
    <row r="5" spans="1:127" s="168" customFormat="1" ht="16.95" customHeight="1" x14ac:dyDescent="0.4">
      <c r="A5" s="162" t="s">
        <v>206</v>
      </c>
      <c r="B5" s="209">
        <v>4.3470000000000004</v>
      </c>
      <c r="C5" s="223">
        <v>3.706</v>
      </c>
      <c r="D5" s="224">
        <f>C5/B5-1</f>
        <v>-0.14745801702323447</v>
      </c>
      <c r="E5" s="223">
        <v>8.6489999999999991</v>
      </c>
      <c r="F5" s="224">
        <f>E5/C5-1</f>
        <v>1.3337830545062062</v>
      </c>
      <c r="G5" s="200">
        <v>2.56</v>
      </c>
      <c r="H5" s="163">
        <v>3.45</v>
      </c>
      <c r="I5" s="163">
        <v>2.57</v>
      </c>
      <c r="J5" s="290">
        <v>2.12</v>
      </c>
      <c r="K5" s="326">
        <f t="shared" si="0"/>
        <v>10.7</v>
      </c>
      <c r="L5" s="164">
        <f t="shared" si="1"/>
        <v>0.30685402925150551</v>
      </c>
      <c r="M5" s="327">
        <f t="shared" ref="M5:M8" si="36">K5/E5-1</f>
        <v>0.23713724129957225</v>
      </c>
      <c r="N5" s="163">
        <v>3.49</v>
      </c>
      <c r="O5" s="164">
        <f t="shared" si="2"/>
        <v>0.35503560528992884</v>
      </c>
      <c r="P5" s="165">
        <f>N5/G5-1</f>
        <v>0.36328125</v>
      </c>
      <c r="Q5" s="201">
        <f t="shared" ref="Q5:Q8" si="37">N5/J5-1</f>
        <v>0.64622641509433953</v>
      </c>
      <c r="R5" s="163">
        <v>2.98</v>
      </c>
      <c r="S5" s="164">
        <f t="shared" si="3"/>
        <v>0.26003490401396157</v>
      </c>
      <c r="T5" s="165">
        <f>R5/H5-1</f>
        <v>-0.13623188405797104</v>
      </c>
      <c r="U5" s="303">
        <f>R5/N5-1</f>
        <v>-0.14613180515759316</v>
      </c>
      <c r="V5" s="163">
        <v>3.07</v>
      </c>
      <c r="W5" s="164">
        <f t="shared" si="4"/>
        <v>0.26442721791558998</v>
      </c>
      <c r="X5" s="165">
        <f>V5/I5-1</f>
        <v>0.19455252918287935</v>
      </c>
      <c r="Y5" s="303">
        <f>V5/R5-1</f>
        <v>3.0201342281879207E-2</v>
      </c>
      <c r="Z5" s="166">
        <f t="shared" ref="Z5:Z15" si="38">AD5-N5-R5-V5</f>
        <v>3.1939999999999995</v>
      </c>
      <c r="AA5" s="164">
        <f t="shared" si="5"/>
        <v>0.21903716911260454</v>
      </c>
      <c r="AB5" s="165">
        <f>Z5/J5-1</f>
        <v>0.50660377358490538</v>
      </c>
      <c r="AC5" s="165">
        <f>Z5/V5-1</f>
        <v>4.0390879478827246E-2</v>
      </c>
      <c r="AD5" s="326">
        <v>12.734</v>
      </c>
      <c r="AE5" s="164">
        <f t="shared" si="6"/>
        <v>0.26818583884419361</v>
      </c>
      <c r="AF5" s="327">
        <f>AD5/K5-1</f>
        <v>0.19009345794392529</v>
      </c>
      <c r="AG5" s="166">
        <v>3.9180000000000001</v>
      </c>
      <c r="AH5" s="164">
        <f t="shared" si="7"/>
        <v>0.24195640091397516</v>
      </c>
      <c r="AI5" s="165">
        <f>AG5/N5-1</f>
        <v>0.12263610315186235</v>
      </c>
      <c r="AJ5" s="303">
        <f>AG5/Z5-1</f>
        <v>0.22667501565435222</v>
      </c>
      <c r="AK5" s="166">
        <v>5.2859999999999996</v>
      </c>
      <c r="AL5" s="164">
        <f t="shared" si="8"/>
        <v>0.24516488103520243</v>
      </c>
      <c r="AM5" s="165">
        <f>AK5/R5-1</f>
        <v>0.77382550335570466</v>
      </c>
      <c r="AN5" s="303">
        <f>AK5/AG5-1</f>
        <v>0.34915773353751889</v>
      </c>
      <c r="AO5" s="166">
        <v>4.00888153</v>
      </c>
      <c r="AP5" s="164">
        <f t="shared" si="9"/>
        <v>0.19036906204512269</v>
      </c>
      <c r="AQ5" s="165">
        <f>AO5/V5-1</f>
        <v>0.3058246026058633</v>
      </c>
      <c r="AR5" s="303">
        <f>AO5/AK5-1</f>
        <v>-0.241603948164964</v>
      </c>
      <c r="AS5" s="166">
        <f>AW5-AG5-AK5-AO5</f>
        <v>4.0151184700000027</v>
      </c>
      <c r="AT5" s="164">
        <f t="shared" si="10"/>
        <v>0.17988456362053165</v>
      </c>
      <c r="AU5" s="165">
        <f>AS5/Z5-1</f>
        <v>0.25708154978084008</v>
      </c>
      <c r="AV5" s="165">
        <f>AS5/AO5-1</f>
        <v>1.5557805720447515E-3</v>
      </c>
      <c r="AW5" s="326">
        <v>17.228000000000002</v>
      </c>
      <c r="AX5" s="164">
        <f t="shared" si="11"/>
        <v>0.21234269655996946</v>
      </c>
      <c r="AY5" s="327">
        <f t="shared" si="12"/>
        <v>0.35291346002827084</v>
      </c>
      <c r="AZ5" s="181">
        <v>3.91</v>
      </c>
      <c r="BA5" s="164">
        <f t="shared" si="13"/>
        <v>0.18246301740631857</v>
      </c>
      <c r="BB5" s="165">
        <f>AZ5/AG5-1</f>
        <v>-2.0418580908626582E-3</v>
      </c>
      <c r="BC5" s="303">
        <f>AZ5/AS5-1</f>
        <v>-2.6180664601909598E-2</v>
      </c>
      <c r="BD5" s="166">
        <v>3.1878267990000002</v>
      </c>
      <c r="BE5" s="164">
        <f t="shared" si="14"/>
        <v>0.21849202100317203</v>
      </c>
      <c r="BF5" s="165">
        <f>BD5/AK5-1</f>
        <v>-0.39693023098751412</v>
      </c>
      <c r="BG5" s="303">
        <f>BD5/AZ5-1</f>
        <v>-0.18469902838874674</v>
      </c>
      <c r="BH5" s="166">
        <v>3.5750000000000002</v>
      </c>
      <c r="BI5" s="164">
        <f t="shared" si="15"/>
        <v>0.18273359231241057</v>
      </c>
      <c r="BJ5" s="165">
        <f>BH5/AO5-1</f>
        <v>-0.10823007034583032</v>
      </c>
      <c r="BK5" s="303">
        <f>BH5/BD5-1</f>
        <v>0.12145365021758825</v>
      </c>
      <c r="BL5" s="166">
        <f>BP5-AZ5-BD5-BH5</f>
        <v>4.8281732009999994</v>
      </c>
      <c r="BM5" s="164">
        <f t="shared" si="16"/>
        <v>0.23125792997169028</v>
      </c>
      <c r="BN5" s="165">
        <f>BL5/AS5-1</f>
        <v>0.20249831656897443</v>
      </c>
      <c r="BO5" s="165">
        <f>BL5/BH5-1</f>
        <v>0.35053795832167811</v>
      </c>
      <c r="BP5" s="326">
        <v>15.500999999999999</v>
      </c>
      <c r="BQ5" s="164">
        <f t="shared" si="17"/>
        <v>0.20273080393926315</v>
      </c>
      <c r="BR5" s="327">
        <f t="shared" si="18"/>
        <v>-0.10024378918040411</v>
      </c>
      <c r="BS5" s="181">
        <v>4.5940000000000003</v>
      </c>
      <c r="BT5" s="164">
        <f t="shared" si="19"/>
        <v>0.21547842401500938</v>
      </c>
      <c r="BU5" s="165">
        <f>BS5/AZ5-1</f>
        <v>0.1749360613810742</v>
      </c>
      <c r="BV5" s="303">
        <f>BS5/BL5-1</f>
        <v>-4.850140855582763E-2</v>
      </c>
      <c r="BW5" s="166">
        <v>6.4</v>
      </c>
      <c r="BX5" s="164">
        <f t="shared" si="20"/>
        <v>0.21702271956595456</v>
      </c>
      <c r="BY5" s="165">
        <f>BW5/BD5-1</f>
        <v>1.0076373038860322</v>
      </c>
      <c r="BZ5" s="303">
        <f>BW5/BS5-1</f>
        <v>0.3931214627775359</v>
      </c>
      <c r="CA5" s="166">
        <v>5.3129999999999997</v>
      </c>
      <c r="CB5" s="164">
        <f t="shared" si="21"/>
        <v>0.2171585056813537</v>
      </c>
      <c r="CC5" s="165">
        <f>CA5/BH5-1</f>
        <v>0.48615384615384594</v>
      </c>
      <c r="CD5" s="303">
        <f>CA5/BW5-1</f>
        <v>-0.16984375000000007</v>
      </c>
      <c r="CE5" s="166">
        <f>22.744-CA5-BW5-BS5</f>
        <v>6.4370000000000003</v>
      </c>
      <c r="CF5" s="164">
        <f t="shared" si="22"/>
        <v>0.25422590837282788</v>
      </c>
      <c r="CG5" s="165">
        <f>CE5/BL5-1</f>
        <v>0.33321646345801859</v>
      </c>
      <c r="CH5" s="165"/>
      <c r="CI5" s="326">
        <f t="shared" si="23"/>
        <v>22.744</v>
      </c>
      <c r="CJ5" s="164">
        <f t="shared" si="24"/>
        <v>0.22609248876694898</v>
      </c>
      <c r="CK5" s="327">
        <f t="shared" si="25"/>
        <v>0.46726017676278953</v>
      </c>
      <c r="CL5" s="181">
        <v>8.8000000000000007</v>
      </c>
      <c r="CM5" s="164">
        <f t="shared" si="26"/>
        <v>0.24872106497837823</v>
      </c>
      <c r="CN5" s="165">
        <f>CL5/BS5-1</f>
        <v>0.91554201131911195</v>
      </c>
      <c r="CO5" s="303">
        <f>CL5/CE5-1</f>
        <v>0.36709647351250596</v>
      </c>
      <c r="CP5" s="166">
        <v>8.2769999999999992</v>
      </c>
      <c r="CQ5" s="164">
        <f t="shared" si="27"/>
        <v>0.25324317708970751</v>
      </c>
      <c r="CR5" s="165">
        <f>CP5/BW5-1</f>
        <v>0.29328124999999972</v>
      </c>
      <c r="CS5" s="303">
        <f>CP5/CL5-1</f>
        <v>-5.9431818181818308E-2</v>
      </c>
      <c r="CT5" s="166">
        <v>7.3170000000000002</v>
      </c>
      <c r="CU5" s="164">
        <f t="shared" si="28"/>
        <v>0.21994108452567032</v>
      </c>
      <c r="CV5" s="165">
        <f>CT5/CA5-1</f>
        <v>0.37718802936194251</v>
      </c>
      <c r="CW5" s="303">
        <f>CT5/CP5-1</f>
        <v>-0.11598405219282337</v>
      </c>
      <c r="CX5" s="166">
        <v>9.2409999999999997</v>
      </c>
      <c r="CY5" s="164">
        <f t="shared" si="29"/>
        <v>0.22835890972891493</v>
      </c>
      <c r="CZ5" s="165">
        <f>CX5/CE5-1</f>
        <v>0.43560664906012114</v>
      </c>
      <c r="DA5" s="165">
        <f>CX5/CT5-1</f>
        <v>0.26294929615962825</v>
      </c>
      <c r="DB5" s="326">
        <f t="shared" si="30"/>
        <v>33.634999999999998</v>
      </c>
      <c r="DC5" s="164">
        <f t="shared" si="31"/>
        <v>0.23720028208744706</v>
      </c>
      <c r="DD5" s="327">
        <f t="shared" si="32"/>
        <v>0.47885156524797745</v>
      </c>
      <c r="DE5" s="181">
        <v>8.7639999999999993</v>
      </c>
      <c r="DF5" s="164">
        <f t="shared" si="33"/>
        <v>0.22486786062503208</v>
      </c>
      <c r="DG5" s="165">
        <f>DE5/CL5-1</f>
        <v>-4.090909090909256E-3</v>
      </c>
      <c r="DH5" s="303">
        <f>DE5/CX5-1</f>
        <v>-5.1617790282436959E-2</v>
      </c>
      <c r="DI5" s="166">
        <v>9.577</v>
      </c>
      <c r="DJ5" s="164">
        <f t="shared" si="34"/>
        <v>0.20867196862403312</v>
      </c>
      <c r="DK5" s="165">
        <f>DI5/CP5-1</f>
        <v>0.1570617373444485</v>
      </c>
      <c r="DL5" s="303">
        <f>DI5/DE5-1</f>
        <v>9.2765860337745476E-2</v>
      </c>
      <c r="DM5" s="166">
        <v>11.234</v>
      </c>
      <c r="DN5" s="164">
        <f t="shared" si="35"/>
        <v>0.23284831903162956</v>
      </c>
      <c r="DO5" s="165">
        <f>DM5/CT5-1</f>
        <v>0.53532868662019939</v>
      </c>
      <c r="DP5" s="303">
        <f>DM5/DI5-1</f>
        <v>0.17301869061292674</v>
      </c>
      <c r="DQ5" s="166"/>
      <c r="DR5" s="164"/>
      <c r="DS5" s="165"/>
      <c r="DT5" s="165"/>
      <c r="DU5" s="326"/>
      <c r="DV5" s="164"/>
      <c r="DW5" s="327"/>
    </row>
    <row r="6" spans="1:127" s="10" customFormat="1" ht="16.95" customHeight="1" x14ac:dyDescent="0.4">
      <c r="A6" s="43" t="s">
        <v>207</v>
      </c>
      <c r="B6" s="208">
        <v>8.7110000000000003</v>
      </c>
      <c r="C6" s="221">
        <v>11.291</v>
      </c>
      <c r="D6" s="222">
        <f>C6/B6-1</f>
        <v>0.2961772471587647</v>
      </c>
      <c r="E6" s="221">
        <v>18.594000000000001</v>
      </c>
      <c r="F6" s="222">
        <f>E6/C6-1</f>
        <v>0.64679833495704542</v>
      </c>
      <c r="G6" s="251">
        <v>6.06</v>
      </c>
      <c r="H6" s="50">
        <v>6.26</v>
      </c>
      <c r="I6" s="50">
        <v>5.95</v>
      </c>
      <c r="J6" s="265">
        <v>5.89</v>
      </c>
      <c r="K6" s="328">
        <f t="shared" si="0"/>
        <v>24.16</v>
      </c>
      <c r="L6" s="159">
        <f t="shared" si="1"/>
        <v>0.6928591912819041</v>
      </c>
      <c r="M6" s="325">
        <f t="shared" si="36"/>
        <v>0.29934387436807564</v>
      </c>
      <c r="N6" s="51">
        <v>6.34</v>
      </c>
      <c r="O6" s="159">
        <f t="shared" si="2"/>
        <v>0.64496439471007116</v>
      </c>
      <c r="P6" s="52">
        <f>N6/G6-1</f>
        <v>4.620462046204632E-2</v>
      </c>
      <c r="Q6" s="199">
        <f t="shared" si="37"/>
        <v>7.6400679117147652E-2</v>
      </c>
      <c r="R6" s="51">
        <v>8.48</v>
      </c>
      <c r="S6" s="159">
        <f t="shared" si="3"/>
        <v>0.73996509598603832</v>
      </c>
      <c r="T6" s="52">
        <f>R6/H6-1</f>
        <v>0.35463258785942497</v>
      </c>
      <c r="U6" s="302">
        <f>R6/N6-1</f>
        <v>0.33753943217665627</v>
      </c>
      <c r="V6" s="53">
        <v>8.5500000000000007</v>
      </c>
      <c r="W6" s="159">
        <f t="shared" si="4"/>
        <v>0.73643410852713187</v>
      </c>
      <c r="X6" s="52">
        <f>V6/I6-1</f>
        <v>0.43697478991596639</v>
      </c>
      <c r="Y6" s="302">
        <f>V6/R6-1</f>
        <v>8.2547169811320042E-3</v>
      </c>
      <c r="Z6" s="51">
        <f t="shared" si="38"/>
        <v>11.377999999999997</v>
      </c>
      <c r="AA6" s="159">
        <f t="shared" si="5"/>
        <v>0.78027705390207081</v>
      </c>
      <c r="AB6" s="52">
        <f>Z6/J6-1</f>
        <v>0.93174872665534747</v>
      </c>
      <c r="AC6" s="52">
        <f>Z6/V6-1</f>
        <v>0.33076023391812814</v>
      </c>
      <c r="AD6" s="328">
        <v>34.747999999999998</v>
      </c>
      <c r="AE6" s="159">
        <f t="shared" si="6"/>
        <v>0.73181416115580633</v>
      </c>
      <c r="AF6" s="325">
        <f>AD6/K6-1</f>
        <v>0.43824503311258267</v>
      </c>
      <c r="AG6" s="51">
        <f>AG4-AG5</f>
        <v>12.275000000000002</v>
      </c>
      <c r="AH6" s="159">
        <f t="shared" si="7"/>
        <v>0.75804359908602492</v>
      </c>
      <c r="AI6" s="52">
        <f>AG6/N6-1</f>
        <v>0.9361198738170351</v>
      </c>
      <c r="AJ6" s="318">
        <f>AG6/Z6-1</f>
        <v>7.8836350852522941E-2</v>
      </c>
      <c r="AK6" s="51">
        <f>AK4-AK5</f>
        <v>16.274999999999999</v>
      </c>
      <c r="AL6" s="159">
        <f t="shared" si="8"/>
        <v>0.75483511896479749</v>
      </c>
      <c r="AM6" s="52">
        <f>AK6/R6-1</f>
        <v>0.91922169811320731</v>
      </c>
      <c r="AN6" s="318">
        <f>AK6/AG6-1</f>
        <v>0.3258655804480648</v>
      </c>
      <c r="AO6" s="51">
        <v>17.057590298000001</v>
      </c>
      <c r="AP6" s="159">
        <f t="shared" si="9"/>
        <v>0.81001083256761774</v>
      </c>
      <c r="AQ6" s="52">
        <f>AO6/V6-1</f>
        <v>0.99503980093567246</v>
      </c>
      <c r="AR6" s="318">
        <f>AO6/AK6-1</f>
        <v>4.8085425376344304E-2</v>
      </c>
      <c r="AS6" s="51">
        <f>AW6-AG6-AK6-AO6</f>
        <v>18.297409701999996</v>
      </c>
      <c r="AT6" s="159">
        <f t="shared" si="10"/>
        <v>0.81975702192178379</v>
      </c>
      <c r="AU6" s="52">
        <f>AS6/Z6-1</f>
        <v>0.60813936561785908</v>
      </c>
      <c r="AV6" s="45">
        <f>AS6/AO6-1</f>
        <v>7.2684323069089229E-2</v>
      </c>
      <c r="AW6" s="328">
        <v>63.905000000000001</v>
      </c>
      <c r="AX6" s="159">
        <f t="shared" si="11"/>
        <v>0.7876573034400306</v>
      </c>
      <c r="AY6" s="325">
        <f t="shared" si="12"/>
        <v>0.83909865315989429</v>
      </c>
      <c r="AZ6" s="180">
        <f>AZ4-AZ5</f>
        <v>17.518999999999998</v>
      </c>
      <c r="BA6" s="159">
        <f t="shared" si="13"/>
        <v>0.81753698259368146</v>
      </c>
      <c r="BB6" s="52">
        <f>AZ6/AG6-1</f>
        <v>0.42720977596741316</v>
      </c>
      <c r="BC6" s="318">
        <f>AZ6/AS6-1</f>
        <v>-4.2542070964007195E-2</v>
      </c>
      <c r="BD6" s="51">
        <f>BD4-BD5</f>
        <v>11.402302325000001</v>
      </c>
      <c r="BE6" s="159">
        <f t="shared" si="14"/>
        <v>0.781507978996828</v>
      </c>
      <c r="BF6" s="52">
        <f>BD6/AK6-1</f>
        <v>-0.29939770660522258</v>
      </c>
      <c r="BG6" s="318">
        <f>BD6/AZ6-1</f>
        <v>-0.34914650807694492</v>
      </c>
      <c r="BH6" s="51">
        <f>BH4-BH5</f>
        <v>15.989000000000001</v>
      </c>
      <c r="BI6" s="159">
        <f t="shared" si="15"/>
        <v>0.81726640768758951</v>
      </c>
      <c r="BJ6" s="52">
        <f>BH6/AO6-1</f>
        <v>-6.2646029089190369E-2</v>
      </c>
      <c r="BK6" s="318">
        <f>BH6/BD6-1</f>
        <v>0.40226066142304284</v>
      </c>
      <c r="BL6" s="51">
        <f>BP6-AZ6-BD6-BH6</f>
        <v>16.049697675000001</v>
      </c>
      <c r="BM6" s="159">
        <f t="shared" si="16"/>
        <v>0.76874207002830997</v>
      </c>
      <c r="BN6" s="52">
        <f>BL6/AS6-1</f>
        <v>-0.12284318182777032</v>
      </c>
      <c r="BO6" s="45">
        <f>BL6/BH6-1</f>
        <v>3.7962145850272133E-3</v>
      </c>
      <c r="BP6" s="328">
        <f>BP4-BP5</f>
        <v>60.96</v>
      </c>
      <c r="BQ6" s="159">
        <f t="shared" si="17"/>
        <v>0.79726919606073687</v>
      </c>
      <c r="BR6" s="325">
        <f t="shared" si="18"/>
        <v>-4.608403098349112E-2</v>
      </c>
      <c r="BS6" s="180">
        <f>BS4-BS5</f>
        <v>16.725999999999999</v>
      </c>
      <c r="BT6" s="159">
        <f t="shared" si="19"/>
        <v>0.78452157598499062</v>
      </c>
      <c r="BU6" s="52">
        <f>BS6/AZ6-1</f>
        <v>-4.5265140704378037E-2</v>
      </c>
      <c r="BV6" s="318">
        <f>BS6/BL6-1</f>
        <v>4.2138010241367319E-2</v>
      </c>
      <c r="BW6" s="51">
        <f>BW4-BW5</f>
        <v>23.090000000000003</v>
      </c>
      <c r="BX6" s="159">
        <f t="shared" si="20"/>
        <v>0.78297728043404546</v>
      </c>
      <c r="BY6" s="52">
        <f>BW6/BD6-1</f>
        <v>1.0250296248832362</v>
      </c>
      <c r="BZ6" s="318">
        <f>BW6/BS6-1</f>
        <v>0.38048547172067471</v>
      </c>
      <c r="CA6" s="51">
        <f>CA4-CA5</f>
        <v>19.153000000000002</v>
      </c>
      <c r="CB6" s="159">
        <f t="shared" si="21"/>
        <v>0.78284149431864636</v>
      </c>
      <c r="CC6" s="52">
        <f>CA6/BH6-1</f>
        <v>0.19788604665707688</v>
      </c>
      <c r="CD6" s="318">
        <f>CA6/BW6-1</f>
        <v>-0.17050671286271113</v>
      </c>
      <c r="CE6" s="51">
        <f>CE4-CE5</f>
        <v>18.882999999999992</v>
      </c>
      <c r="CF6" s="159">
        <f t="shared" si="22"/>
        <v>0.74577409162717212</v>
      </c>
      <c r="CG6" s="52">
        <f>CE6/BL6-1</f>
        <v>0.17653306513139611</v>
      </c>
      <c r="CH6" s="45">
        <f>CE6/CA6-1</f>
        <v>-1.4097008301572123E-2</v>
      </c>
      <c r="CI6" s="328">
        <f t="shared" si="23"/>
        <v>77.852000000000004</v>
      </c>
      <c r="CJ6" s="159">
        <f t="shared" si="24"/>
        <v>0.77390751123305102</v>
      </c>
      <c r="CK6" s="325">
        <f t="shared" si="25"/>
        <v>0.27709973753280837</v>
      </c>
      <c r="CL6" s="180">
        <f>CL4-CL5</f>
        <v>26.581</v>
      </c>
      <c r="CM6" s="159">
        <f t="shared" si="26"/>
        <v>0.7512789350216218</v>
      </c>
      <c r="CN6" s="52">
        <f>CL6/BS6-1</f>
        <v>0.58920243931603489</v>
      </c>
      <c r="CO6" s="318">
        <f>CL6/CE6-1</f>
        <v>0.40766827304983377</v>
      </c>
      <c r="CP6" s="51">
        <f>CP4-CP5</f>
        <v>24.406999999999996</v>
      </c>
      <c r="CQ6" s="159">
        <f t="shared" si="27"/>
        <v>0.74675682291029244</v>
      </c>
      <c r="CR6" s="52">
        <f>CP6/BW6-1</f>
        <v>5.7037678648765411E-2</v>
      </c>
      <c r="CS6" s="318">
        <f>CP6/CL6-1</f>
        <v>-8.1787743124788537E-2</v>
      </c>
      <c r="CT6" s="51">
        <f>CT4-CT5</f>
        <v>25.951000000000001</v>
      </c>
      <c r="CU6" s="159">
        <f t="shared" si="28"/>
        <v>0.78005891547432971</v>
      </c>
      <c r="CV6" s="52">
        <f>CT6/CA6-1</f>
        <v>0.35493134234845702</v>
      </c>
      <c r="CW6" s="318">
        <f>CT6/CP6-1</f>
        <v>6.3260540009014044E-2</v>
      </c>
      <c r="CX6" s="51">
        <f>CX4-CX5</f>
        <v>31.225999999999999</v>
      </c>
      <c r="CY6" s="159">
        <f t="shared" si="29"/>
        <v>0.77164109027108507</v>
      </c>
      <c r="CZ6" s="52">
        <f>CX6/CE6-1</f>
        <v>0.6536567282741097</v>
      </c>
      <c r="DA6" s="45">
        <f>CX6/CT6-1</f>
        <v>0.20326769681322476</v>
      </c>
      <c r="DB6" s="328">
        <f t="shared" si="30"/>
        <v>108.16499999999999</v>
      </c>
      <c r="DC6" s="159">
        <f t="shared" si="31"/>
        <v>0.76279971791255274</v>
      </c>
      <c r="DD6" s="325">
        <f t="shared" si="32"/>
        <v>0.38936700405898361</v>
      </c>
      <c r="DE6" s="180">
        <f>DE4-DE5</f>
        <v>30.209999999999997</v>
      </c>
      <c r="DF6" s="159">
        <f t="shared" si="33"/>
        <v>0.77513213937496794</v>
      </c>
      <c r="DG6" s="52">
        <f>DE6/CL6-1</f>
        <v>0.1365260900643317</v>
      </c>
      <c r="DH6" s="318">
        <f>DE6/CX6-1</f>
        <v>-3.2536988407096734E-2</v>
      </c>
      <c r="DI6" s="51">
        <f>DI4-DI5</f>
        <v>36.318000000000005</v>
      </c>
      <c r="DJ6" s="159">
        <f t="shared" si="34"/>
        <v>0.79132803137596697</v>
      </c>
      <c r="DK6" s="52">
        <f>DI6/CP6-1</f>
        <v>0.48801573319129798</v>
      </c>
      <c r="DL6" s="318">
        <f>DI6/DE6-1</f>
        <v>0.20218470705064573</v>
      </c>
      <c r="DM6" s="51">
        <f>DM4-DM5</f>
        <v>37.012</v>
      </c>
      <c r="DN6" s="159">
        <f t="shared" si="35"/>
        <v>0.76715168096837039</v>
      </c>
      <c r="DO6" s="52">
        <f>DM6/CT6-1</f>
        <v>0.42622634965897266</v>
      </c>
      <c r="DP6" s="318">
        <f>DM6/DI6-1</f>
        <v>1.9108981772123945E-2</v>
      </c>
      <c r="DQ6" s="51"/>
      <c r="DR6" s="159"/>
      <c r="DS6" s="52"/>
      <c r="DT6" s="45"/>
      <c r="DU6" s="328"/>
      <c r="DV6" s="159"/>
      <c r="DW6" s="325"/>
    </row>
    <row r="7" spans="1:127" s="170" customFormat="1" ht="16.95" customHeight="1" x14ac:dyDescent="0.4">
      <c r="A7" s="169" t="s">
        <v>33</v>
      </c>
      <c r="B7" s="210">
        <v>6.0730000000000004</v>
      </c>
      <c r="C7" s="225">
        <v>7.3140000000000001</v>
      </c>
      <c r="D7" s="226">
        <f>C7/B7-1</f>
        <v>0.2043471101597234</v>
      </c>
      <c r="E7" s="225">
        <v>10.329000000000001</v>
      </c>
      <c r="F7" s="226">
        <f>E7/C7-1</f>
        <v>0.41222313371616082</v>
      </c>
      <c r="G7" s="200">
        <v>3.02</v>
      </c>
      <c r="H7" s="163">
        <v>3.1</v>
      </c>
      <c r="I7" s="163">
        <v>3.2</v>
      </c>
      <c r="J7" s="290">
        <v>4.05</v>
      </c>
      <c r="K7" s="326">
        <f t="shared" si="0"/>
        <v>13.370000000000001</v>
      </c>
      <c r="L7" s="167">
        <f t="shared" si="1"/>
        <v>0.38342414683108689</v>
      </c>
      <c r="M7" s="327">
        <f t="shared" si="36"/>
        <v>0.2944137864265659</v>
      </c>
      <c r="N7" s="163">
        <v>3.76</v>
      </c>
      <c r="O7" s="167">
        <f t="shared" si="2"/>
        <v>0.38250254323499489</v>
      </c>
      <c r="P7" s="165">
        <f>N7/G7-1</f>
        <v>0.24503311258278138</v>
      </c>
      <c r="Q7" s="201">
        <f t="shared" si="37"/>
        <v>-7.1604938271604968E-2</v>
      </c>
      <c r="R7" s="163">
        <v>4.24</v>
      </c>
      <c r="S7" s="167">
        <f t="shared" si="3"/>
        <v>0.36998254799301916</v>
      </c>
      <c r="T7" s="165">
        <f>R7/H7-1</f>
        <v>0.36774193548387091</v>
      </c>
      <c r="U7" s="303">
        <f>R7/N7-1</f>
        <v>0.12765957446808529</v>
      </c>
      <c r="V7" s="163">
        <v>4.42</v>
      </c>
      <c r="W7" s="167">
        <f t="shared" si="4"/>
        <v>0.38070628768303189</v>
      </c>
      <c r="X7" s="165">
        <f>V7/I7-1</f>
        <v>0.38124999999999987</v>
      </c>
      <c r="Y7" s="303">
        <f>V7/R7-1</f>
        <v>4.2452830188679069E-2</v>
      </c>
      <c r="Z7" s="166">
        <f t="shared" si="38"/>
        <v>4.8510000000000009</v>
      </c>
      <c r="AA7" s="167">
        <f t="shared" si="5"/>
        <v>0.33267041558085314</v>
      </c>
      <c r="AB7" s="165">
        <f>Z7/J7-1</f>
        <v>0.19777777777777805</v>
      </c>
      <c r="AC7" s="165">
        <f>Z7/V7-1</f>
        <v>9.751131221719489E-2</v>
      </c>
      <c r="AD7" s="326">
        <v>17.271000000000001</v>
      </c>
      <c r="AE7" s="167">
        <f t="shared" si="6"/>
        <v>0.36373783749631444</v>
      </c>
      <c r="AF7" s="327">
        <f>AD7/K7-1</f>
        <v>0.29177262528047865</v>
      </c>
      <c r="AG7" s="166">
        <v>4.83</v>
      </c>
      <c r="AH7" s="167">
        <f t="shared" si="7"/>
        <v>0.29827703328598776</v>
      </c>
      <c r="AI7" s="165">
        <f>AG7/N7-1</f>
        <v>0.28457446808510656</v>
      </c>
      <c r="AJ7" s="303">
        <f>AG7/Z7-1</f>
        <v>-4.3290043290045155E-3</v>
      </c>
      <c r="AK7" s="166">
        <v>6.7069999999999999</v>
      </c>
      <c r="AL7" s="167">
        <f t="shared" si="8"/>
        <v>0.31107091507815038</v>
      </c>
      <c r="AM7" s="165">
        <f>AK7/R7-1</f>
        <v>0.58183962264150924</v>
      </c>
      <c r="AN7" s="303">
        <f>AK7/AG7-1</f>
        <v>0.38861283643892341</v>
      </c>
      <c r="AO7" s="166">
        <v>5.28586212</v>
      </c>
      <c r="AP7" s="167">
        <f t="shared" si="9"/>
        <v>0.25100881788448454</v>
      </c>
      <c r="AQ7" s="165">
        <f>AO7/V7-1</f>
        <v>0.19589640723981905</v>
      </c>
      <c r="AR7" s="303">
        <f>AO7/AK7-1</f>
        <v>-0.21188875503205606</v>
      </c>
      <c r="AS7" s="166">
        <f>AW7-AG7-AK7-AO7</f>
        <v>5.3721378800000013</v>
      </c>
      <c r="AT7" s="167">
        <f t="shared" si="10"/>
        <v>0.24068148560835056</v>
      </c>
      <c r="AU7" s="165">
        <f>AS7/Z7-1</f>
        <v>0.10742895897753058</v>
      </c>
      <c r="AV7" s="165">
        <f>AS7/AO7-1</f>
        <v>1.6321984577229331E-2</v>
      </c>
      <c r="AW7" s="326">
        <v>22.195</v>
      </c>
      <c r="AX7" s="167">
        <f t="shared" si="11"/>
        <v>0.27356316172211065</v>
      </c>
      <c r="AY7" s="327">
        <f t="shared" si="12"/>
        <v>0.2851021944299692</v>
      </c>
      <c r="AZ7" s="181">
        <v>4.085</v>
      </c>
      <c r="BA7" s="167">
        <f t="shared" si="13"/>
        <v>0.19062952074291847</v>
      </c>
      <c r="BB7" s="165">
        <f>AZ7/AG7-1</f>
        <v>-0.15424430641821951</v>
      </c>
      <c r="BC7" s="303">
        <f>AZ7/AS7-1</f>
        <v>-0.23959509393679246</v>
      </c>
      <c r="BD7" s="166">
        <v>5.0350405629999999</v>
      </c>
      <c r="BE7" s="167">
        <f t="shared" si="14"/>
        <v>0.34509910914479991</v>
      </c>
      <c r="BF7" s="165">
        <f>BD7/AK7-1</f>
        <v>-0.24928573684210531</v>
      </c>
      <c r="BG7" s="303">
        <f>BD7/AZ7-1</f>
        <v>0.23256806927784579</v>
      </c>
      <c r="BH7" s="166">
        <v>4.1239999999999997</v>
      </c>
      <c r="BI7" s="167">
        <f t="shared" si="15"/>
        <v>0.21079533837661008</v>
      </c>
      <c r="BJ7" s="165">
        <f>BH7/AO7-1</f>
        <v>-0.21980560476670175</v>
      </c>
      <c r="BK7" s="303">
        <f>BH7/BD7-1</f>
        <v>-0.18094006425584386</v>
      </c>
      <c r="BL7" s="166">
        <f>BP7-AZ7-BD7-BH7</f>
        <v>7.1059594370000019</v>
      </c>
      <c r="BM7" s="167">
        <f t="shared" si="16"/>
        <v>0.34035843401870092</v>
      </c>
      <c r="BN7" s="165">
        <f>BL7/AS7-1</f>
        <v>0.32274330922422267</v>
      </c>
      <c r="BO7" s="165">
        <f>BL7/BH7-1</f>
        <v>0.72307454825412276</v>
      </c>
      <c r="BP7" s="326">
        <v>20.350000000000001</v>
      </c>
      <c r="BQ7" s="167">
        <f t="shared" si="17"/>
        <v>0.26614875557473749</v>
      </c>
      <c r="BR7" s="327">
        <f t="shared" si="18"/>
        <v>-8.3126830367199811E-2</v>
      </c>
      <c r="BS7" s="181">
        <v>5.8310000000000004</v>
      </c>
      <c r="BT7" s="167">
        <f t="shared" si="19"/>
        <v>0.27349906191369605</v>
      </c>
      <c r="BU7" s="165">
        <f>BS7/AZ7-1</f>
        <v>0.42741738066095492</v>
      </c>
      <c r="BV7" s="303">
        <f>BS7/BL7-1</f>
        <v>-0.17942115323110608</v>
      </c>
      <c r="BW7" s="166">
        <v>7</v>
      </c>
      <c r="BX7" s="167">
        <f t="shared" si="20"/>
        <v>0.23736859952526279</v>
      </c>
      <c r="BY7" s="165">
        <f>BW7/BD7-1</f>
        <v>0.39025692294109926</v>
      </c>
      <c r="BZ7" s="303">
        <f>BW7/BS7-1</f>
        <v>0.20048019207683065</v>
      </c>
      <c r="CA7" s="166">
        <v>5.8239999999999998</v>
      </c>
      <c r="CB7" s="167">
        <f t="shared" si="21"/>
        <v>0.23804463336875661</v>
      </c>
      <c r="CC7" s="165">
        <f>CA7/BH7-1</f>
        <v>0.41222114451988379</v>
      </c>
      <c r="CD7" s="303">
        <f>CA7/BW7-1</f>
        <v>-0.16800000000000004</v>
      </c>
      <c r="CE7" s="166">
        <f>26.139-CA7-BW7-BS7</f>
        <v>7.4839999999999973</v>
      </c>
      <c r="CF7" s="167">
        <f t="shared" si="22"/>
        <v>0.2955766192733017</v>
      </c>
      <c r="CG7" s="165">
        <f>CE7/BL7-1</f>
        <v>5.3200495492779831E-2</v>
      </c>
      <c r="CH7" s="165">
        <f>CE7/CA7-1</f>
        <v>0.28502747252747218</v>
      </c>
      <c r="CI7" s="326">
        <f t="shared" si="23"/>
        <v>26.138999999999999</v>
      </c>
      <c r="CJ7" s="167">
        <f t="shared" si="24"/>
        <v>0.25984134558034117</v>
      </c>
      <c r="CK7" s="327">
        <f t="shared" si="25"/>
        <v>0.28447174447174439</v>
      </c>
      <c r="CL7" s="181">
        <v>9.8759999999999994</v>
      </c>
      <c r="CM7" s="167">
        <f t="shared" si="26"/>
        <v>0.2791328679234617</v>
      </c>
      <c r="CN7" s="165">
        <f>CL7/BS7-1</f>
        <v>0.69370605385011119</v>
      </c>
      <c r="CO7" s="303">
        <f>CL7/CE7-1</f>
        <v>0.31961517904863745</v>
      </c>
      <c r="CP7" s="166">
        <v>9.1440000000000001</v>
      </c>
      <c r="CQ7" s="167">
        <f t="shared" si="27"/>
        <v>0.27976991800269246</v>
      </c>
      <c r="CR7" s="165">
        <f>CP7/BW7-1</f>
        <v>0.30628571428571427</v>
      </c>
      <c r="CS7" s="303">
        <f>CP7/CL7-1</f>
        <v>-7.4119076549210128E-2</v>
      </c>
      <c r="CT7" s="166">
        <v>8.4710000000000001</v>
      </c>
      <c r="CU7" s="167">
        <f t="shared" si="28"/>
        <v>0.25462907298304677</v>
      </c>
      <c r="CV7" s="165">
        <f>CT7/CA7-1</f>
        <v>0.45449862637362637</v>
      </c>
      <c r="CW7" s="303">
        <f>CT7/CP7-1</f>
        <v>-7.3600174978127764E-2</v>
      </c>
      <c r="CX7" s="166">
        <v>11.797000000000001</v>
      </c>
      <c r="CY7" s="167">
        <f t="shared" si="29"/>
        <v>0.29152148664343791</v>
      </c>
      <c r="CZ7" s="165">
        <f>CX7/CE7-1</f>
        <v>0.57629609834313267</v>
      </c>
      <c r="DA7" s="165">
        <f>CX7/CT7-1</f>
        <v>0.39263369141777837</v>
      </c>
      <c r="DB7" s="326">
        <f t="shared" si="30"/>
        <v>39.287999999999997</v>
      </c>
      <c r="DC7" s="167">
        <f t="shared" si="31"/>
        <v>0.27706629055007048</v>
      </c>
      <c r="DD7" s="327">
        <f t="shared" si="32"/>
        <v>0.50304143234247678</v>
      </c>
      <c r="DE7" s="181">
        <v>10.319000000000001</v>
      </c>
      <c r="DF7" s="167">
        <f t="shared" si="33"/>
        <v>0.26476625442602764</v>
      </c>
      <c r="DG7" s="165">
        <f>DE7/CL7-1</f>
        <v>4.4856217091940209E-2</v>
      </c>
      <c r="DH7" s="303">
        <f>DE7/CX7-1</f>
        <v>-0.12528608968381794</v>
      </c>
      <c r="DI7" s="166">
        <v>13.173999999999999</v>
      </c>
      <c r="DJ7" s="167">
        <f t="shared" si="34"/>
        <v>0.28704651922867414</v>
      </c>
      <c r="DK7" s="165">
        <f>DI7/CP7-1</f>
        <v>0.44072615923009617</v>
      </c>
      <c r="DL7" s="303">
        <f>DI7/DE7-1</f>
        <v>0.27667409632716322</v>
      </c>
      <c r="DM7" s="166">
        <v>12.348000000000001</v>
      </c>
      <c r="DN7" s="167">
        <f t="shared" si="35"/>
        <v>0.25593831612983459</v>
      </c>
      <c r="DO7" s="165">
        <f>DM7/CT7-1</f>
        <v>0.45767914059733217</v>
      </c>
      <c r="DP7" s="303">
        <f>DM7/DI7-1</f>
        <v>-6.2699256110520629E-2</v>
      </c>
      <c r="DQ7" s="166"/>
      <c r="DR7" s="167"/>
      <c r="DS7" s="165"/>
      <c r="DT7" s="165"/>
      <c r="DU7" s="326"/>
      <c r="DV7" s="167"/>
      <c r="DW7" s="327"/>
    </row>
    <row r="8" spans="1:127" s="9" customFormat="1" ht="16.95" customHeight="1" x14ac:dyDescent="0.4">
      <c r="A8" s="49" t="s">
        <v>208</v>
      </c>
      <c r="B8" s="211">
        <v>2.6379999999999999</v>
      </c>
      <c r="C8" s="227">
        <v>3.9769999999999999</v>
      </c>
      <c r="D8" s="228">
        <f>C8/B8-1</f>
        <v>0.50758150113722511</v>
      </c>
      <c r="E8" s="227">
        <v>8.2650000000000006</v>
      </c>
      <c r="F8" s="228">
        <f>E8/C8-1</f>
        <v>1.0781996479758615</v>
      </c>
      <c r="G8" s="251">
        <v>3.04</v>
      </c>
      <c r="H8" s="50">
        <v>3.16</v>
      </c>
      <c r="I8" s="50">
        <v>2.75</v>
      </c>
      <c r="J8" s="289">
        <v>1.85</v>
      </c>
      <c r="K8" s="324">
        <f t="shared" si="0"/>
        <v>10.799999999999999</v>
      </c>
      <c r="L8" s="159">
        <f t="shared" si="1"/>
        <v>0.30972182391740744</v>
      </c>
      <c r="M8" s="325">
        <f t="shared" si="36"/>
        <v>0.30671506352087086</v>
      </c>
      <c r="N8" s="51">
        <v>2.58</v>
      </c>
      <c r="O8" s="159">
        <f t="shared" si="2"/>
        <v>0.26246185147507628</v>
      </c>
      <c r="P8" s="52">
        <f>N8/G8-1</f>
        <v>-0.15131578947368418</v>
      </c>
      <c r="Q8" s="199">
        <f t="shared" si="37"/>
        <v>0.39459459459459456</v>
      </c>
      <c r="R8" s="51">
        <v>4.24</v>
      </c>
      <c r="S8" s="159">
        <f t="shared" si="3"/>
        <v>0.36998254799301916</v>
      </c>
      <c r="T8" s="52">
        <f>R8/H8-1</f>
        <v>0.34177215189873422</v>
      </c>
      <c r="U8" s="302">
        <f>R8/N8-1</f>
        <v>0.64341085271317833</v>
      </c>
      <c r="V8" s="51">
        <v>4.13</v>
      </c>
      <c r="W8" s="159">
        <f t="shared" si="4"/>
        <v>0.35572782084409993</v>
      </c>
      <c r="X8" s="52">
        <f>V8/I8-1</f>
        <v>0.50181818181818172</v>
      </c>
      <c r="Y8" s="302">
        <f>V8/R8-1</f>
        <v>-2.5943396226415172E-2</v>
      </c>
      <c r="Z8" s="51">
        <f t="shared" si="38"/>
        <v>6.5259999999999989</v>
      </c>
      <c r="AA8" s="159">
        <f t="shared" si="5"/>
        <v>0.44753806062268542</v>
      </c>
      <c r="AB8" s="52">
        <f>Z8/J8-1</f>
        <v>2.5275675675675666</v>
      </c>
      <c r="AC8" s="52">
        <f>Z8/V8-1</f>
        <v>0.5801452784503629</v>
      </c>
      <c r="AD8" s="324">
        <v>17.475999999999999</v>
      </c>
      <c r="AE8" s="159">
        <f t="shared" si="6"/>
        <v>0.36805526304704939</v>
      </c>
      <c r="AF8" s="325">
        <f>AD8/K8-1</f>
        <v>0.61814814814814811</v>
      </c>
      <c r="AG8" s="51">
        <f>AG6-AG7</f>
        <v>7.4450000000000021</v>
      </c>
      <c r="AH8" s="159">
        <f t="shared" si="7"/>
        <v>0.45976656580003716</v>
      </c>
      <c r="AI8" s="52">
        <f>AG8/N8-1</f>
        <v>1.8856589147286829</v>
      </c>
      <c r="AJ8" s="318">
        <f>AG8/Z8-1</f>
        <v>0.14082133006435837</v>
      </c>
      <c r="AK8" s="51">
        <f>AK6-AK7</f>
        <v>9.5679999999999978</v>
      </c>
      <c r="AL8" s="159">
        <f t="shared" si="8"/>
        <v>0.44376420388664711</v>
      </c>
      <c r="AM8" s="52">
        <f>AK8/R8-1</f>
        <v>1.2566037735849052</v>
      </c>
      <c r="AN8" s="318">
        <f>AK8/AG8-1</f>
        <v>0.28515782404298129</v>
      </c>
      <c r="AO8" s="51">
        <v>11.771728178</v>
      </c>
      <c r="AP8" s="159">
        <f t="shared" si="9"/>
        <v>0.55900201468313315</v>
      </c>
      <c r="AQ8" s="52">
        <f>AO8/V8-1</f>
        <v>1.8502973796610171</v>
      </c>
      <c r="AR8" s="318">
        <f>AO8/AK8-1</f>
        <v>0.23032276107859562</v>
      </c>
      <c r="AS8" s="51">
        <f>AW8-AG8-AK8-AO8</f>
        <v>12.924271822000005</v>
      </c>
      <c r="AT8" s="159">
        <f t="shared" si="10"/>
        <v>0.57903073450622311</v>
      </c>
      <c r="AU8" s="52">
        <f>AS8/Z8-1</f>
        <v>0.98042779987741446</v>
      </c>
      <c r="AV8" s="45">
        <f>AS8/AO8-1</f>
        <v>9.7907769069453643E-2</v>
      </c>
      <c r="AW8" s="324">
        <v>41.709000000000003</v>
      </c>
      <c r="AX8" s="159">
        <f t="shared" si="11"/>
        <v>0.51408181627697735</v>
      </c>
      <c r="AY8" s="325">
        <f t="shared" si="12"/>
        <v>1.3866445410849169</v>
      </c>
      <c r="AZ8" s="180">
        <f>AZ4-AZ5-AZ7</f>
        <v>13.433999999999997</v>
      </c>
      <c r="BA8" s="159">
        <f t="shared" si="13"/>
        <v>0.62690746185076296</v>
      </c>
      <c r="BB8" s="52">
        <f>AZ8/AG8-1</f>
        <v>0.80443250503693675</v>
      </c>
      <c r="BC8" s="318">
        <f>AZ8/AS8-1</f>
        <v>3.9439605187838955E-2</v>
      </c>
      <c r="BD8" s="51">
        <f>BD6-BD7</f>
        <v>6.3672617620000009</v>
      </c>
      <c r="BE8" s="159">
        <f t="shared" si="14"/>
        <v>0.43640886985202809</v>
      </c>
      <c r="BF8" s="52">
        <f>BD8/AK8-1</f>
        <v>-0.33452531751672221</v>
      </c>
      <c r="BG8" s="318">
        <f>BD8/AZ8-1</f>
        <v>-0.52603381256513315</v>
      </c>
      <c r="BH8" s="51">
        <f>BH4-BH5-BH7</f>
        <v>11.865000000000002</v>
      </c>
      <c r="BI8" s="159">
        <f t="shared" si="15"/>
        <v>0.60647106931097949</v>
      </c>
      <c r="BJ8" s="52">
        <f>BH8/AO8-1</f>
        <v>7.923375445783476E-3</v>
      </c>
      <c r="BK8" s="318">
        <f>BH8/BD8-1</f>
        <v>0.86343838898074821</v>
      </c>
      <c r="BL8" s="51">
        <f>BP8-AZ8-BD8-BH8</f>
        <v>8.9437382379999981</v>
      </c>
      <c r="BM8" s="159">
        <f t="shared" si="16"/>
        <v>0.42838363600960899</v>
      </c>
      <c r="BN8" s="52">
        <f>BL8/AS8-1</f>
        <v>-0.30798900230682613</v>
      </c>
      <c r="BO8" s="45">
        <f>BL8/BH8-1</f>
        <v>-0.24620832380952407</v>
      </c>
      <c r="BP8" s="324">
        <f>BP6-BP7</f>
        <v>40.61</v>
      </c>
      <c r="BQ8" s="159">
        <f t="shared" si="17"/>
        <v>0.53112044048599938</v>
      </c>
      <c r="BR8" s="325">
        <f t="shared" si="18"/>
        <v>-2.6349229183149969E-2</v>
      </c>
      <c r="BS8" s="180">
        <f>BS4-BS5-BS7</f>
        <v>10.895</v>
      </c>
      <c r="BT8" s="159">
        <f t="shared" si="19"/>
        <v>0.51102251407129451</v>
      </c>
      <c r="BU8" s="52">
        <f>BS8/AZ8-1</f>
        <v>-0.18899806461217794</v>
      </c>
      <c r="BV8" s="318">
        <f>BS8/BL8-1</f>
        <v>0.21817071453517212</v>
      </c>
      <c r="BW8" s="51">
        <f>BW6-BW7</f>
        <v>16.090000000000003</v>
      </c>
      <c r="BX8" s="159">
        <f t="shared" si="20"/>
        <v>0.54560868090878267</v>
      </c>
      <c r="BY8" s="52">
        <f>BW8/BD8-1</f>
        <v>1.5269889320438468</v>
      </c>
      <c r="BZ8" s="318">
        <f>BW8/BS8-1</f>
        <v>0.47682423129876117</v>
      </c>
      <c r="CA8" s="51">
        <f>CA4-CA5-CA7</f>
        <v>13.329000000000002</v>
      </c>
      <c r="CB8" s="159">
        <f t="shared" si="21"/>
        <v>0.54479686094988977</v>
      </c>
      <c r="CC8" s="52">
        <f>CA8/BH8-1</f>
        <v>0.12338811630847024</v>
      </c>
      <c r="CD8" s="318">
        <f>CA8/BW8-1</f>
        <v>-0.17159726538222497</v>
      </c>
      <c r="CE8" s="51">
        <f>CE4-CE5-CE7</f>
        <v>11.398999999999994</v>
      </c>
      <c r="CF8" s="159">
        <f t="shared" si="22"/>
        <v>0.45019747235387031</v>
      </c>
      <c r="CG8" s="52">
        <f>CE8/BL8-1</f>
        <v>0.27452298990237911</v>
      </c>
      <c r="CH8" s="45">
        <f>CE8/CA8-1</f>
        <v>-0.14479705904418994</v>
      </c>
      <c r="CI8" s="324">
        <f t="shared" si="23"/>
        <v>51.713000000000001</v>
      </c>
      <c r="CJ8" s="159">
        <f t="shared" si="24"/>
        <v>0.51406616565270979</v>
      </c>
      <c r="CK8" s="325">
        <f t="shared" si="25"/>
        <v>0.27340556513174108</v>
      </c>
      <c r="CL8" s="180">
        <f>CL4-CL5-CL7</f>
        <v>16.704999999999998</v>
      </c>
      <c r="CM8" s="159">
        <f t="shared" si="26"/>
        <v>0.47214606709815998</v>
      </c>
      <c r="CN8" s="52">
        <f>CL8/BS8-1</f>
        <v>0.5332721431849472</v>
      </c>
      <c r="CO8" s="318">
        <f>CL8/CE8-1</f>
        <v>0.46547942802000231</v>
      </c>
      <c r="CP8" s="51">
        <f>CP6-CP7</f>
        <v>15.262999999999996</v>
      </c>
      <c r="CQ8" s="159">
        <f t="shared" si="27"/>
        <v>0.46698690490759998</v>
      </c>
      <c r="CR8" s="52">
        <f>CP8/BW8-1</f>
        <v>-5.139838408949704E-2</v>
      </c>
      <c r="CS8" s="318">
        <f>CP8/CL8-1</f>
        <v>-8.6321460640526926E-2</v>
      </c>
      <c r="CT8" s="51">
        <f>CT6-CT7</f>
        <v>17.48</v>
      </c>
      <c r="CU8" s="159">
        <f t="shared" si="28"/>
        <v>0.52542984249128288</v>
      </c>
      <c r="CV8" s="52">
        <f>CT8/CA8-1</f>
        <v>0.3114262135193937</v>
      </c>
      <c r="CW8" s="318">
        <f>CT8/CP8-1</f>
        <v>0.14525322675751839</v>
      </c>
      <c r="CX8" s="51">
        <f>CX6-CX7</f>
        <v>19.428999999999998</v>
      </c>
      <c r="CY8" s="159">
        <f t="shared" si="29"/>
        <v>0.48011960362764722</v>
      </c>
      <c r="CZ8" s="52">
        <f>CX8/CE8-1</f>
        <v>0.70444775857531439</v>
      </c>
      <c r="DA8" s="45">
        <f>CX8/CT8-1</f>
        <v>0.11149885583524011</v>
      </c>
      <c r="DB8" s="324">
        <f t="shared" si="30"/>
        <v>68.876999999999995</v>
      </c>
      <c r="DC8" s="159">
        <f t="shared" si="31"/>
        <v>0.48573342736248232</v>
      </c>
      <c r="DD8" s="325">
        <f t="shared" si="32"/>
        <v>0.33190880436253933</v>
      </c>
      <c r="DE8" s="180">
        <f>DE4-DE5-DE7</f>
        <v>19.890999999999998</v>
      </c>
      <c r="DF8" s="159">
        <f t="shared" si="33"/>
        <v>0.51036588494894031</v>
      </c>
      <c r="DG8" s="52">
        <f>DE8/CL8-1</f>
        <v>0.19072134091589343</v>
      </c>
      <c r="DH8" s="318">
        <f>DE8/CX8-1</f>
        <v>2.3778887230428758E-2</v>
      </c>
      <c r="DI8" s="51">
        <f>DI6-DI7</f>
        <v>23.144000000000005</v>
      </c>
      <c r="DJ8" s="159">
        <f t="shared" si="34"/>
        <v>0.50428151214729278</v>
      </c>
      <c r="DK8" s="52">
        <f>DI8/CP8-1</f>
        <v>0.51634672082814714</v>
      </c>
      <c r="DL8" s="318">
        <f>DI8/DE8-1</f>
        <v>0.16354130008546619</v>
      </c>
      <c r="DM8" s="51">
        <f>DM6-DM7</f>
        <v>24.664000000000001</v>
      </c>
      <c r="DN8" s="159">
        <f t="shared" si="35"/>
        <v>0.51121336483853586</v>
      </c>
      <c r="DO8" s="52">
        <f>DM8/CT8-1</f>
        <v>0.41098398169336381</v>
      </c>
      <c r="DP8" s="318">
        <f>DM8/DI8-1</f>
        <v>6.5675769097822245E-2</v>
      </c>
      <c r="DQ8" s="45"/>
      <c r="DR8" s="374"/>
      <c r="DS8" s="52"/>
      <c r="DT8" s="45"/>
      <c r="DU8" s="324"/>
      <c r="DV8" s="159"/>
      <c r="DW8" s="325"/>
    </row>
    <row r="9" spans="1:127" s="124" customFormat="1" ht="16.95" customHeight="1" x14ac:dyDescent="0.4">
      <c r="A9" s="121" t="s">
        <v>201</v>
      </c>
      <c r="B9" s="216"/>
      <c r="C9" s="241"/>
      <c r="D9" s="242"/>
      <c r="E9" s="288">
        <v>0.56699999999999995</v>
      </c>
      <c r="F9" s="230"/>
      <c r="G9" s="252">
        <v>4.9946123000000002E-2</v>
      </c>
      <c r="H9" s="122">
        <v>3.3595376000000003E-2</v>
      </c>
      <c r="I9" s="122">
        <v>7.7046980000000001E-2</v>
      </c>
      <c r="J9" s="291">
        <v>-2.4094260000000001E-3</v>
      </c>
      <c r="K9" s="329">
        <f t="shared" si="0"/>
        <v>0.15817905300000001</v>
      </c>
      <c r="L9" s="157"/>
      <c r="M9" s="330"/>
      <c r="N9" s="123">
        <v>6.3148701000000002E-2</v>
      </c>
      <c r="O9" s="157"/>
      <c r="P9" s="123"/>
      <c r="Q9" s="261"/>
      <c r="R9" s="123">
        <v>0.21570729999999999</v>
      </c>
      <c r="S9" s="157"/>
      <c r="T9" s="123"/>
      <c r="U9" s="304"/>
      <c r="V9" s="123">
        <v>3.8570129000000002E-2</v>
      </c>
      <c r="W9" s="157"/>
      <c r="X9" s="123"/>
      <c r="Y9" s="304"/>
      <c r="Z9" s="123">
        <v>9.1933276999999994E-2</v>
      </c>
      <c r="AA9" s="157"/>
      <c r="AB9" s="123"/>
      <c r="AC9" s="123"/>
      <c r="AD9" s="329">
        <f>N9+R9+V9+Z9</f>
        <v>0.40935940699999995</v>
      </c>
      <c r="AE9" s="157"/>
      <c r="AF9" s="330"/>
      <c r="AG9" s="123">
        <v>0.14593989700000001</v>
      </c>
      <c r="AH9" s="157"/>
      <c r="AI9" s="123"/>
      <c r="AJ9" s="304"/>
      <c r="AK9" s="123">
        <v>0.139366079</v>
      </c>
      <c r="AL9" s="157"/>
      <c r="AM9" s="123"/>
      <c r="AN9" s="304"/>
      <c r="AO9" s="123">
        <v>0.25893301099999999</v>
      </c>
      <c r="AP9" s="157"/>
      <c r="AQ9" s="123"/>
      <c r="AR9" s="304"/>
      <c r="AS9" s="123">
        <v>-2.3085438999999999E-2</v>
      </c>
      <c r="AT9" s="157"/>
      <c r="AU9" s="123"/>
      <c r="AV9" s="123"/>
      <c r="AW9" s="329">
        <f>AG9+AK9+AO9+AS9</f>
        <v>0.52115354799999991</v>
      </c>
      <c r="AX9" s="157"/>
      <c r="AY9" s="330"/>
      <c r="AZ9" s="182">
        <v>1.0262209550000001</v>
      </c>
      <c r="BA9" s="157"/>
      <c r="BB9" s="123"/>
      <c r="BC9" s="304"/>
      <c r="BD9" s="123">
        <v>0.20569116500000001</v>
      </c>
      <c r="BE9" s="157"/>
      <c r="BF9" s="123"/>
      <c r="BG9" s="304"/>
      <c r="BH9" s="123">
        <v>5.7536017000000002E-2</v>
      </c>
      <c r="BI9" s="157"/>
      <c r="BJ9" s="123"/>
      <c r="BK9" s="304"/>
      <c r="BL9" s="123">
        <v>7.128845E-3</v>
      </c>
      <c r="BM9" s="157"/>
      <c r="BN9" s="123"/>
      <c r="BO9" s="123"/>
      <c r="BP9" s="329">
        <f>AZ9+BD9+BH9+BL9</f>
        <v>1.2965769820000002</v>
      </c>
      <c r="BQ9" s="157"/>
      <c r="BR9" s="330"/>
      <c r="BS9" s="182">
        <v>1.47</v>
      </c>
      <c r="BT9" s="157"/>
      <c r="BU9" s="123"/>
      <c r="BV9" s="304"/>
      <c r="BW9" s="123">
        <v>0.1</v>
      </c>
      <c r="BX9" s="157"/>
      <c r="BY9" s="123"/>
      <c r="BZ9" s="304"/>
      <c r="CA9" s="123">
        <v>2.6094346549999998</v>
      </c>
      <c r="CB9" s="157"/>
      <c r="CC9" s="123"/>
      <c r="CD9" s="304"/>
      <c r="CE9" s="123">
        <v>2.8508525E-2</v>
      </c>
      <c r="CF9" s="157"/>
      <c r="CG9" s="123"/>
      <c r="CH9" s="123"/>
      <c r="CI9" s="329">
        <f t="shared" si="23"/>
        <v>4.20794318</v>
      </c>
      <c r="CJ9" s="157"/>
      <c r="CK9" s="330"/>
      <c r="CL9" s="182">
        <v>0.70399999999999996</v>
      </c>
      <c r="CM9" s="157"/>
      <c r="CN9" s="123"/>
      <c r="CO9" s="304"/>
      <c r="CP9" s="123">
        <v>2.9740000000000002</v>
      </c>
      <c r="CQ9" s="157"/>
      <c r="CR9" s="123"/>
      <c r="CS9" s="304"/>
      <c r="CT9" s="123">
        <v>5.4320000000000004</v>
      </c>
      <c r="CU9" s="157"/>
      <c r="CV9" s="123"/>
      <c r="CW9" s="304"/>
      <c r="CX9" s="123">
        <v>-6.5259999999999998</v>
      </c>
      <c r="CY9" s="157"/>
      <c r="CZ9" s="123"/>
      <c r="DA9" s="123"/>
      <c r="DB9" s="329">
        <f t="shared" si="30"/>
        <v>2.5839999999999996</v>
      </c>
      <c r="DC9" s="157"/>
      <c r="DD9" s="330"/>
      <c r="DE9" s="182">
        <v>4.3940000000000001</v>
      </c>
      <c r="DF9" s="157"/>
      <c r="DG9" s="123"/>
      <c r="DH9" s="304"/>
      <c r="DI9" s="123">
        <v>2.0270000000000001</v>
      </c>
      <c r="DJ9" s="157"/>
      <c r="DK9" s="123"/>
      <c r="DL9" s="304"/>
      <c r="DM9" s="123">
        <v>0.48799999999999999</v>
      </c>
      <c r="DN9" s="157"/>
      <c r="DO9" s="123"/>
      <c r="DP9" s="304"/>
      <c r="DQ9" s="123"/>
      <c r="DR9" s="157"/>
      <c r="DS9" s="123"/>
      <c r="DT9" s="123"/>
      <c r="DU9" s="329"/>
      <c r="DV9" s="157"/>
      <c r="DW9" s="330"/>
    </row>
    <row r="10" spans="1:127" s="124" customFormat="1" ht="16.95" customHeight="1" x14ac:dyDescent="0.4">
      <c r="A10" s="121" t="s">
        <v>202</v>
      </c>
      <c r="B10" s="216"/>
      <c r="C10" s="241"/>
      <c r="D10" s="242"/>
      <c r="E10" s="288">
        <v>0.52300000000000002</v>
      </c>
      <c r="F10" s="230"/>
      <c r="G10" s="252">
        <v>0.40041795200000002</v>
      </c>
      <c r="H10" s="122">
        <v>-0.115101702</v>
      </c>
      <c r="I10" s="122">
        <v>1.7255959000000001E-2</v>
      </c>
      <c r="J10" s="291">
        <v>0.43370875800000003</v>
      </c>
      <c r="K10" s="329">
        <f t="shared" si="0"/>
        <v>0.73628096700000012</v>
      </c>
      <c r="L10" s="157"/>
      <c r="M10" s="330"/>
      <c r="N10" s="123">
        <v>0.18034135900000001</v>
      </c>
      <c r="O10" s="157"/>
      <c r="P10" s="123"/>
      <c r="Q10" s="261"/>
      <c r="R10" s="123">
        <v>0.16834172</v>
      </c>
      <c r="S10" s="157"/>
      <c r="T10" s="123"/>
      <c r="U10" s="304"/>
      <c r="V10" s="123">
        <v>0.15194664599999999</v>
      </c>
      <c r="W10" s="157"/>
      <c r="X10" s="123"/>
      <c r="Y10" s="304"/>
      <c r="Z10" s="123">
        <v>6.2150292000000003E-2</v>
      </c>
      <c r="AA10" s="157"/>
      <c r="AB10" s="123"/>
      <c r="AC10" s="123"/>
      <c r="AD10" s="329">
        <f>N10+R10+V10+Z10</f>
        <v>0.56278001700000002</v>
      </c>
      <c r="AE10" s="157"/>
      <c r="AF10" s="330"/>
      <c r="AG10" s="123">
        <v>7.8080283E-2</v>
      </c>
      <c r="AH10" s="157"/>
      <c r="AI10" s="123"/>
      <c r="AJ10" s="304"/>
      <c r="AK10" s="123">
        <v>0.192668323</v>
      </c>
      <c r="AL10" s="157"/>
      <c r="AM10" s="123"/>
      <c r="AN10" s="304"/>
      <c r="AO10" s="123">
        <v>-4.3191817E-2</v>
      </c>
      <c r="AP10" s="157"/>
      <c r="AQ10" s="123"/>
      <c r="AR10" s="304"/>
      <c r="AS10" s="123">
        <v>0.50881607200000001</v>
      </c>
      <c r="AT10" s="157"/>
      <c r="AU10" s="123"/>
      <c r="AV10" s="123"/>
      <c r="AW10" s="329">
        <f>AG10+AK10+AO10+AS10</f>
        <v>0.73637286099999999</v>
      </c>
      <c r="AX10" s="157"/>
      <c r="AY10" s="330"/>
      <c r="AZ10" s="182">
        <v>-0.22780895000000001</v>
      </c>
      <c r="BA10" s="157"/>
      <c r="BB10" s="123"/>
      <c r="BC10" s="304"/>
      <c r="BD10" s="123">
        <v>0.37321935699999997</v>
      </c>
      <c r="BE10" s="157"/>
      <c r="BF10" s="123"/>
      <c r="BG10" s="304"/>
      <c r="BH10" s="123">
        <v>0.48769772900000002</v>
      </c>
      <c r="BI10" s="157"/>
      <c r="BJ10" s="123"/>
      <c r="BK10" s="304"/>
      <c r="BL10" s="123">
        <v>2.0452344249999999</v>
      </c>
      <c r="BM10" s="157"/>
      <c r="BN10" s="123"/>
      <c r="BO10" s="123"/>
      <c r="BP10" s="329">
        <f>AZ10+BD10+BH10+BL10</f>
        <v>2.678342561</v>
      </c>
      <c r="BQ10" s="157"/>
      <c r="BR10" s="330"/>
      <c r="BS10" s="182">
        <v>-0.18</v>
      </c>
      <c r="BT10" s="157"/>
      <c r="BU10" s="123"/>
      <c r="BV10" s="304"/>
      <c r="BW10" s="123">
        <v>0.23</v>
      </c>
      <c r="BX10" s="157"/>
      <c r="BY10" s="123"/>
      <c r="BZ10" s="304"/>
      <c r="CA10" s="123">
        <v>9.1640764E-2</v>
      </c>
      <c r="CB10" s="157"/>
      <c r="CC10" s="123"/>
      <c r="CD10" s="304"/>
      <c r="CE10" s="123">
        <v>0.22806104099999999</v>
      </c>
      <c r="CF10" s="157"/>
      <c r="CG10" s="123"/>
      <c r="CH10" s="123"/>
      <c r="CI10" s="329">
        <f t="shared" si="23"/>
        <v>0.36970180500000005</v>
      </c>
      <c r="CJ10" s="157"/>
      <c r="CK10" s="330"/>
      <c r="CL10" s="182">
        <v>0.79200000000000004</v>
      </c>
      <c r="CM10" s="157"/>
      <c r="CN10" s="123"/>
      <c r="CO10" s="304"/>
      <c r="CP10" s="123">
        <v>0.73099999999999998</v>
      </c>
      <c r="CQ10" s="157"/>
      <c r="CR10" s="123"/>
      <c r="CS10" s="304"/>
      <c r="CT10" s="123">
        <v>0.77</v>
      </c>
      <c r="CU10" s="157"/>
      <c r="CV10" s="123"/>
      <c r="CW10" s="304"/>
      <c r="CX10" s="123">
        <v>2.38</v>
      </c>
      <c r="CY10" s="157"/>
      <c r="CZ10" s="123"/>
      <c r="DA10" s="123"/>
      <c r="DB10" s="329">
        <f t="shared" si="30"/>
        <v>4.673</v>
      </c>
      <c r="DC10" s="157"/>
      <c r="DD10" s="330"/>
      <c r="DE10" s="182">
        <v>1.145</v>
      </c>
      <c r="DF10" s="157"/>
      <c r="DG10" s="123"/>
      <c r="DH10" s="304"/>
      <c r="DI10" s="123">
        <v>0.48899999999999999</v>
      </c>
      <c r="DJ10" s="157"/>
      <c r="DK10" s="123"/>
      <c r="DL10" s="304"/>
      <c r="DM10" s="123">
        <v>0.56399999999999995</v>
      </c>
      <c r="DN10" s="157"/>
      <c r="DO10" s="123"/>
      <c r="DP10" s="304"/>
      <c r="DQ10" s="123"/>
      <c r="DR10" s="157"/>
      <c r="DS10" s="123"/>
      <c r="DT10" s="123"/>
      <c r="DU10" s="329"/>
      <c r="DV10" s="157"/>
      <c r="DW10" s="330"/>
    </row>
    <row r="11" spans="1:127" s="124" customFormat="1" ht="16.95" customHeight="1" x14ac:dyDescent="0.4">
      <c r="A11" s="121" t="s">
        <v>203</v>
      </c>
      <c r="B11" s="217"/>
      <c r="C11" s="171"/>
      <c r="D11" s="243"/>
      <c r="E11" s="288">
        <v>0.49199999999999999</v>
      </c>
      <c r="F11" s="230"/>
      <c r="G11" s="252">
        <v>9.2144397000000003E-2</v>
      </c>
      <c r="H11" s="122">
        <v>0.109532779</v>
      </c>
      <c r="I11" s="122">
        <v>0.13832414700000001</v>
      </c>
      <c r="J11" s="291">
        <v>9.7027447000000003E-2</v>
      </c>
      <c r="K11" s="329">
        <f t="shared" si="0"/>
        <v>0.43702877000000001</v>
      </c>
      <c r="L11" s="157"/>
      <c r="M11" s="330"/>
      <c r="N11" s="123">
        <v>5.1376668E-2</v>
      </c>
      <c r="O11" s="157"/>
      <c r="P11" s="123"/>
      <c r="Q11" s="261"/>
      <c r="R11" s="123">
        <v>0.230574008</v>
      </c>
      <c r="S11" s="157"/>
      <c r="T11" s="123"/>
      <c r="U11" s="304"/>
      <c r="V11" s="123">
        <v>2.8508344000000001E-2</v>
      </c>
      <c r="W11" s="157"/>
      <c r="X11" s="123"/>
      <c r="Y11" s="304"/>
      <c r="Z11" s="123">
        <v>0.199558661</v>
      </c>
      <c r="AA11" s="157"/>
      <c r="AB11" s="123"/>
      <c r="AC11" s="123"/>
      <c r="AD11" s="329">
        <f>N11+R11+V11+Z11</f>
        <v>0.510017681</v>
      </c>
      <c r="AE11" s="157"/>
      <c r="AF11" s="330"/>
      <c r="AG11" s="123">
        <v>5.9530184999999999E-2</v>
      </c>
      <c r="AH11" s="157"/>
      <c r="AI11" s="123"/>
      <c r="AJ11" s="304"/>
      <c r="AK11" s="123">
        <v>6.1527258000000001E-2</v>
      </c>
      <c r="AL11" s="157"/>
      <c r="AM11" s="123"/>
      <c r="AN11" s="304"/>
      <c r="AO11" s="123">
        <v>0.101154302</v>
      </c>
      <c r="AP11" s="157"/>
      <c r="AQ11" s="123"/>
      <c r="AR11" s="304"/>
      <c r="AS11" s="123">
        <v>3.5517052E-2</v>
      </c>
      <c r="AT11" s="157"/>
      <c r="AU11" s="123"/>
      <c r="AV11" s="123"/>
      <c r="AW11" s="329">
        <f>AG11+AK11+AO11+AS11</f>
        <v>0.25772879700000001</v>
      </c>
      <c r="AX11" s="157"/>
      <c r="AY11" s="330"/>
      <c r="AZ11" s="182">
        <v>1.8995695999999999E-2</v>
      </c>
      <c r="BA11" s="157"/>
      <c r="BB11" s="123"/>
      <c r="BC11" s="304"/>
      <c r="BD11" s="123">
        <v>2.0578710000000002E-3</v>
      </c>
      <c r="BE11" s="157"/>
      <c r="BF11" s="123"/>
      <c r="BG11" s="304"/>
      <c r="BH11" s="123">
        <v>2.5976808000000001E-2</v>
      </c>
      <c r="BI11" s="157"/>
      <c r="BJ11" s="123"/>
      <c r="BK11" s="304"/>
      <c r="BL11" s="123">
        <v>2.8282425999999999E-2</v>
      </c>
      <c r="BM11" s="157"/>
      <c r="BN11" s="123"/>
      <c r="BO11" s="123"/>
      <c r="BP11" s="329">
        <f>AZ11+BD11+BH11+BL11</f>
        <v>7.5312800999999999E-2</v>
      </c>
      <c r="BQ11" s="157"/>
      <c r="BR11" s="330"/>
      <c r="BS11" s="182">
        <v>0.01</v>
      </c>
      <c r="BT11" s="157"/>
      <c r="BU11" s="123"/>
      <c r="BV11" s="304"/>
      <c r="BW11" s="123">
        <v>0.04</v>
      </c>
      <c r="BX11" s="157"/>
      <c r="BY11" s="123"/>
      <c r="BZ11" s="304"/>
      <c r="CA11" s="123">
        <v>5.6398878E-2</v>
      </c>
      <c r="CB11" s="157"/>
      <c r="CC11" s="123"/>
      <c r="CD11" s="304"/>
      <c r="CE11" s="123">
        <v>0.10614963700000001</v>
      </c>
      <c r="CF11" s="157"/>
      <c r="CG11" s="123"/>
      <c r="CH11" s="123"/>
      <c r="CI11" s="329">
        <f t="shared" si="23"/>
        <v>0.21254851499999999</v>
      </c>
      <c r="CJ11" s="157"/>
      <c r="CK11" s="330"/>
      <c r="CL11" s="182">
        <v>2E-3</v>
      </c>
      <c r="CM11" s="157"/>
      <c r="CN11" s="123"/>
      <c r="CO11" s="304"/>
      <c r="CP11" s="123">
        <v>2.7E-2</v>
      </c>
      <c r="CQ11" s="157"/>
      <c r="CR11" s="123"/>
      <c r="CS11" s="304"/>
      <c r="CT11" s="123">
        <v>5.0000000000000001E-3</v>
      </c>
      <c r="CU11" s="157"/>
      <c r="CV11" s="123"/>
      <c r="CW11" s="304"/>
      <c r="CX11" s="123">
        <v>30.338000000000001</v>
      </c>
      <c r="CY11" s="157"/>
      <c r="CZ11" s="123"/>
      <c r="DA11" s="123"/>
      <c r="DB11" s="329">
        <f t="shared" si="30"/>
        <v>30.372</v>
      </c>
      <c r="DC11" s="157"/>
      <c r="DD11" s="330"/>
      <c r="DE11" s="182">
        <v>1E-3</v>
      </c>
      <c r="DF11" s="157"/>
      <c r="DG11" s="123"/>
      <c r="DH11" s="304"/>
      <c r="DI11" s="123">
        <v>1.4999999999999999E-2</v>
      </c>
      <c r="DJ11" s="157"/>
      <c r="DK11" s="123"/>
      <c r="DL11" s="304"/>
      <c r="DM11" s="123">
        <v>1E-3</v>
      </c>
      <c r="DN11" s="157"/>
      <c r="DO11" s="123"/>
      <c r="DP11" s="304"/>
      <c r="DQ11" s="123"/>
      <c r="DR11" s="157"/>
      <c r="DS11" s="123"/>
      <c r="DT11" s="123"/>
      <c r="DU11" s="329"/>
      <c r="DV11" s="157"/>
      <c r="DW11" s="330"/>
    </row>
    <row r="12" spans="1:127" s="124" customFormat="1" ht="16.95" customHeight="1" x14ac:dyDescent="0.4">
      <c r="A12" s="121" t="s">
        <v>204</v>
      </c>
      <c r="B12" s="216"/>
      <c r="C12" s="241"/>
      <c r="D12" s="242"/>
      <c r="E12" s="288">
        <v>2.8000000000000001E-2</v>
      </c>
      <c r="F12" s="230"/>
      <c r="G12" s="252">
        <v>1.118314E-3</v>
      </c>
      <c r="H12" s="122">
        <v>2.3123229999999998E-3</v>
      </c>
      <c r="I12" s="122">
        <v>1.9499584E-2</v>
      </c>
      <c r="J12" s="291">
        <v>13.781930704000001</v>
      </c>
      <c r="K12" s="329">
        <f t="shared" si="0"/>
        <v>13.804860925</v>
      </c>
      <c r="L12" s="157"/>
      <c r="M12" s="330"/>
      <c r="N12" s="123">
        <v>2.210105E-3</v>
      </c>
      <c r="O12" s="157"/>
      <c r="P12" s="123"/>
      <c r="Q12" s="261"/>
      <c r="R12" s="123">
        <v>2.2059477000000001E-2</v>
      </c>
      <c r="S12" s="157"/>
      <c r="T12" s="123"/>
      <c r="U12" s="304"/>
      <c r="V12" s="123">
        <v>1.448073E-3</v>
      </c>
      <c r="W12" s="157"/>
      <c r="X12" s="123"/>
      <c r="Y12" s="304"/>
      <c r="Z12" s="123">
        <v>2.1130004000000001E-2</v>
      </c>
      <c r="AA12" s="157"/>
      <c r="AB12" s="123"/>
      <c r="AC12" s="123"/>
      <c r="AD12" s="329">
        <f>N12+R12+V12+Z12</f>
        <v>4.6847659E-2</v>
      </c>
      <c r="AE12" s="157"/>
      <c r="AF12" s="330"/>
      <c r="AG12" s="123">
        <v>1.452675E-2</v>
      </c>
      <c r="AH12" s="157"/>
      <c r="AI12" s="123"/>
      <c r="AJ12" s="304"/>
      <c r="AK12" s="123">
        <v>2.9060919999999999E-3</v>
      </c>
      <c r="AL12" s="157"/>
      <c r="AM12" s="123"/>
      <c r="AN12" s="304"/>
      <c r="AO12" s="123">
        <v>1.4999999999999999E-4</v>
      </c>
      <c r="AP12" s="157"/>
      <c r="AQ12" s="123"/>
      <c r="AR12" s="304"/>
      <c r="AS12" s="123">
        <v>-9.8319999999999994E-5</v>
      </c>
      <c r="AT12" s="157"/>
      <c r="AU12" s="123"/>
      <c r="AV12" s="123"/>
      <c r="AW12" s="329">
        <f>AG12+AK12+AO12+AS12</f>
        <v>1.7484522000000002E-2</v>
      </c>
      <c r="AX12" s="157"/>
      <c r="AY12" s="330"/>
      <c r="AZ12" s="182">
        <v>6.4108600000000002E-4</v>
      </c>
      <c r="BA12" s="157"/>
      <c r="BB12" s="123"/>
      <c r="BC12" s="304"/>
      <c r="BD12" s="123">
        <v>7.3895469999999998E-3</v>
      </c>
      <c r="BE12" s="157"/>
      <c r="BF12" s="123"/>
      <c r="BG12" s="304"/>
      <c r="BH12" s="123">
        <v>1.3000000000000001E-8</v>
      </c>
      <c r="BI12" s="157"/>
      <c r="BJ12" s="123"/>
      <c r="BK12" s="304"/>
      <c r="BL12" s="123">
        <v>7.17883E-4</v>
      </c>
      <c r="BM12" s="157"/>
      <c r="BN12" s="123"/>
      <c r="BO12" s="123"/>
      <c r="BP12" s="329">
        <f>AZ12+BD12+BH12+BL12</f>
        <v>8.7485290000000014E-3</v>
      </c>
      <c r="BQ12" s="157"/>
      <c r="BR12" s="330"/>
      <c r="BS12" s="182">
        <v>1.24E-5</v>
      </c>
      <c r="BT12" s="157"/>
      <c r="BU12" s="123"/>
      <c r="BV12" s="304"/>
      <c r="BW12" s="123">
        <v>0.01</v>
      </c>
      <c r="BX12" s="157"/>
      <c r="BY12" s="123"/>
      <c r="BZ12" s="304"/>
      <c r="CA12" s="123">
        <v>2.5883682000000002E-2</v>
      </c>
      <c r="CB12" s="157"/>
      <c r="CC12" s="123"/>
      <c r="CD12" s="304"/>
      <c r="CE12" s="123">
        <v>0.115268385</v>
      </c>
      <c r="CF12" s="157"/>
      <c r="CG12" s="123"/>
      <c r="CH12" s="123"/>
      <c r="CI12" s="329">
        <f t="shared" si="23"/>
        <v>0.151164467</v>
      </c>
      <c r="CJ12" s="157"/>
      <c r="CK12" s="330"/>
      <c r="CL12" s="182">
        <v>1.9999999999999999E-6</v>
      </c>
      <c r="CM12" s="157"/>
      <c r="CN12" s="123"/>
      <c r="CO12" s="304"/>
      <c r="CP12" s="123">
        <v>2.0000000000000001E-4</v>
      </c>
      <c r="CQ12" s="157"/>
      <c r="CR12" s="123"/>
      <c r="CS12" s="304"/>
      <c r="CT12" s="123">
        <v>6.0000000000000002E-5</v>
      </c>
      <c r="CU12" s="157"/>
      <c r="CV12" s="123"/>
      <c r="CW12" s="304"/>
      <c r="CX12" s="123">
        <v>0.4</v>
      </c>
      <c r="CY12" s="157"/>
      <c r="CZ12" s="123"/>
      <c r="DA12" s="123"/>
      <c r="DB12" s="329">
        <f t="shared" si="30"/>
        <v>0.40026200000000001</v>
      </c>
      <c r="DC12" s="157"/>
      <c r="DD12" s="330"/>
      <c r="DE12" s="182">
        <v>1.0999999999999999E-2</v>
      </c>
      <c r="DF12" s="157"/>
      <c r="DG12" s="123"/>
      <c r="DH12" s="304"/>
      <c r="DI12" s="123">
        <v>5.0999999999999997E-2</v>
      </c>
      <c r="DJ12" s="157"/>
      <c r="DK12" s="123"/>
      <c r="DL12" s="304"/>
      <c r="DM12" s="123">
        <v>0.434</v>
      </c>
      <c r="DN12" s="157"/>
      <c r="DO12" s="123"/>
      <c r="DP12" s="304"/>
      <c r="DQ12" s="123"/>
      <c r="DR12" s="157"/>
      <c r="DS12" s="123"/>
      <c r="DT12" s="123"/>
      <c r="DU12" s="329"/>
      <c r="DV12" s="157"/>
      <c r="DW12" s="330"/>
    </row>
    <row r="13" spans="1:127" s="170" customFormat="1" ht="16.95" customHeight="1" x14ac:dyDescent="0.4">
      <c r="A13" s="169" t="s">
        <v>209</v>
      </c>
      <c r="B13" s="216"/>
      <c r="C13" s="241"/>
      <c r="D13" s="242"/>
      <c r="E13" s="231">
        <v>8.7729999999999997</v>
      </c>
      <c r="F13" s="232"/>
      <c r="G13" s="200">
        <v>2.7824572440000002</v>
      </c>
      <c r="H13" s="163">
        <v>3.4151308949999999</v>
      </c>
      <c r="I13" s="163">
        <v>2.9325919740000002</v>
      </c>
      <c r="J13" s="290">
        <v>-12.273736375</v>
      </c>
      <c r="K13" s="326">
        <f t="shared" si="0"/>
        <v>-3.1435562619999988</v>
      </c>
      <c r="L13" s="167">
        <f t="shared" si="1"/>
        <v>-9.0150738801261787E-2</v>
      </c>
      <c r="M13" s="333" t="s">
        <v>205</v>
      </c>
      <c r="N13" s="163">
        <v>2.5136539930000001</v>
      </c>
      <c r="O13" s="167">
        <f t="shared" si="2"/>
        <v>0.25571251200406919</v>
      </c>
      <c r="P13" s="165">
        <f>N13/G13-1</f>
        <v>-9.660642641666406E-2</v>
      </c>
      <c r="Q13" s="202" t="s">
        <v>34</v>
      </c>
      <c r="R13" s="163">
        <v>4.4993707389999997</v>
      </c>
      <c r="S13" s="167">
        <f t="shared" si="3"/>
        <v>0.39261524773123901</v>
      </c>
      <c r="T13" s="165">
        <f>R13/H13-1</f>
        <v>0.3174811968663942</v>
      </c>
      <c r="U13" s="303">
        <f>R13/N13-1</f>
        <v>0.7899721885071711</v>
      </c>
      <c r="V13" s="163">
        <v>4.0441696739999999</v>
      </c>
      <c r="W13" s="167">
        <f t="shared" si="4"/>
        <v>0.34833502790697674</v>
      </c>
      <c r="X13" s="165">
        <f>V13/I13-1</f>
        <v>0.37904274097968993</v>
      </c>
      <c r="Y13" s="303">
        <f>V13/R13-1</f>
        <v>-0.10116993939938579</v>
      </c>
      <c r="Z13" s="166">
        <v>6.7290454349999997</v>
      </c>
      <c r="AA13" s="167">
        <f t="shared" si="5"/>
        <v>0.46146244925250307</v>
      </c>
      <c r="AB13" s="165">
        <f>Z13/J13-1</f>
        <v>-1.5482475123635691</v>
      </c>
      <c r="AC13" s="165">
        <f>Z13/V13-1</f>
        <v>0.66388801099545547</v>
      </c>
      <c r="AD13" s="326">
        <f>N13+R13+V13+Z13</f>
        <v>17.786239841</v>
      </c>
      <c r="AE13" s="167">
        <f t="shared" si="6"/>
        <v>0.37458910410260732</v>
      </c>
      <c r="AF13" s="333" t="s">
        <v>34</v>
      </c>
      <c r="AG13" s="166">
        <v>7.5568683700000001</v>
      </c>
      <c r="AH13" s="167">
        <f t="shared" ref="AH13" si="39">AG13/AG$4</f>
        <v>0.4666750058667325</v>
      </c>
      <c r="AI13" s="165">
        <f>AG13/K13-1</f>
        <v>-3.4039233721849014</v>
      </c>
      <c r="AJ13" s="303">
        <f>AG13/Z13-1</f>
        <v>0.12302234291571557</v>
      </c>
      <c r="AK13" s="166">
        <v>9.5734958900000002</v>
      </c>
      <c r="AL13" s="167">
        <f t="shared" si="8"/>
        <v>0.44401910347386486</v>
      </c>
      <c r="AM13" s="165">
        <f>AK13/R13-1</f>
        <v>1.1277410654379065</v>
      </c>
      <c r="AN13" s="303">
        <f>AK13/AG13-1</f>
        <v>0.26686021527195125</v>
      </c>
      <c r="AO13" s="166">
        <v>12.174857308</v>
      </c>
      <c r="AP13" s="167">
        <f t="shared" ref="AP13" si="40">AO13/AO$4</f>
        <v>0.57814533777384225</v>
      </c>
      <c r="AQ13" s="165">
        <f>AO13/V13-1</f>
        <v>2.0104714414610885</v>
      </c>
      <c r="AR13" s="303">
        <f>AO13/AK13-1</f>
        <v>0.27172533919581587</v>
      </c>
      <c r="AS13" s="166">
        <v>12.429278803000001</v>
      </c>
      <c r="AT13" s="167">
        <f t="shared" ref="AT13" si="41">AS13/AS$4</f>
        <v>0.55685415269840777</v>
      </c>
      <c r="AU13" s="165">
        <f>AS13/Z13-1</f>
        <v>0.84710876498933918</v>
      </c>
      <c r="AV13" s="165">
        <f>AS13/AO13-1</f>
        <v>2.0897287628399708E-2</v>
      </c>
      <c r="AW13" s="326">
        <f>AG13+AK13+AO13+AS13</f>
        <v>41.734500371000003</v>
      </c>
      <c r="AX13" s="167">
        <f t="shared" ref="AX13" si="42">AW13/AW$4</f>
        <v>0.51439611959375353</v>
      </c>
      <c r="AY13" s="327">
        <f t="shared" ref="AY13" si="43">AW13/AD13-1</f>
        <v>1.3464487572463519</v>
      </c>
      <c r="AZ13" s="181">
        <v>14.706163441999999</v>
      </c>
      <c r="BA13" s="167">
        <f t="shared" si="13"/>
        <v>0.68627390181529702</v>
      </c>
      <c r="BB13" s="165">
        <f>AZ13/AG13-1</f>
        <v>0.94606584658560089</v>
      </c>
      <c r="BC13" s="303">
        <f>AZ13/AS13-1</f>
        <v>0.18318718849966076</v>
      </c>
      <c r="BD13" s="166">
        <v>6.1944018940000003</v>
      </c>
      <c r="BE13" s="167">
        <f t="shared" si="14"/>
        <v>0.42456114276675816</v>
      </c>
      <c r="BF13" s="165">
        <f>BD13/AK13-1</f>
        <v>-0.35296343517832751</v>
      </c>
      <c r="BG13" s="303">
        <f>BD13/AZ13-1</f>
        <v>-0.57878872226395051</v>
      </c>
      <c r="BH13" s="166">
        <v>11.460166679</v>
      </c>
      <c r="BI13" s="167">
        <f t="shared" si="15"/>
        <v>0.5857783009098344</v>
      </c>
      <c r="BJ13" s="165">
        <f>BH13/AO13-1</f>
        <v>-5.8702177029243852E-2</v>
      </c>
      <c r="BK13" s="303">
        <f>BH13/BD13-1</f>
        <v>0.8500844593407002</v>
      </c>
      <c r="BL13" s="166">
        <v>6.9326356889999996</v>
      </c>
      <c r="BM13" s="167">
        <f t="shared" si="16"/>
        <v>0.33205664170331473</v>
      </c>
      <c r="BN13" s="165">
        <f>BL13/AS13-1</f>
        <v>-0.44223347155695791</v>
      </c>
      <c r="BO13" s="165">
        <f>BL13/BH13-1</f>
        <v>-0.39506676620126324</v>
      </c>
      <c r="BP13" s="326">
        <f>AZ13+BD13+BH13+BL13</f>
        <v>39.293367703999998</v>
      </c>
      <c r="BQ13" s="167">
        <f t="shared" si="17"/>
        <v>0.51390078215037727</v>
      </c>
      <c r="BR13" s="327">
        <f t="shared" si="18"/>
        <v>-5.8491958578621772E-2</v>
      </c>
      <c r="BS13" s="181">
        <v>12.56</v>
      </c>
      <c r="BT13" s="167">
        <f t="shared" si="19"/>
        <v>0.58911819887429651</v>
      </c>
      <c r="BU13" s="165">
        <f>BS13/AZ13-1</f>
        <v>-0.14593632462091866</v>
      </c>
      <c r="BV13" s="303">
        <f>BS13/BL13-1</f>
        <v>0.81172076010411587</v>
      </c>
      <c r="BW13" s="166">
        <v>15.97</v>
      </c>
      <c r="BX13" s="167">
        <f t="shared" si="20"/>
        <v>0.54153950491692093</v>
      </c>
      <c r="BY13" s="165">
        <f>BW13/BD13-1</f>
        <v>1.5781343014680411</v>
      </c>
      <c r="BZ13" s="303">
        <f>BW13/BS13-1</f>
        <v>0.27149681528662417</v>
      </c>
      <c r="CA13" s="166">
        <v>15.877086973999999</v>
      </c>
      <c r="CB13" s="167">
        <f t="shared" si="21"/>
        <v>0.64894494294122451</v>
      </c>
      <c r="CC13" s="165">
        <f>CA13/BH13-1</f>
        <v>0.3854150134739065</v>
      </c>
      <c r="CD13" s="303">
        <f>CA13/BW13-1</f>
        <v>-5.81797282404517E-3</v>
      </c>
      <c r="CE13" s="166">
        <v>11.22504022</v>
      </c>
      <c r="CF13" s="167">
        <f t="shared" si="22"/>
        <v>0.44332702290679316</v>
      </c>
      <c r="CG13" s="165">
        <f>CE13/BL13-1</f>
        <v>0.6191591082466299</v>
      </c>
      <c r="CH13" s="165">
        <f>CE13/CA13-1</f>
        <v>-0.29300379607531901</v>
      </c>
      <c r="CI13" s="326">
        <f t="shared" si="23"/>
        <v>55.632127194000006</v>
      </c>
      <c r="CJ13" s="167">
        <f t="shared" si="24"/>
        <v>0.55302524150065613</v>
      </c>
      <c r="CK13" s="327">
        <f t="shared" si="25"/>
        <v>0.41581468946823685</v>
      </c>
      <c r="CL13" s="181">
        <v>16.617999999999999</v>
      </c>
      <c r="CM13" s="167">
        <f t="shared" si="26"/>
        <v>0.46968712020576009</v>
      </c>
      <c r="CN13" s="165">
        <f>CL13/BS13-1</f>
        <v>0.32308917197452214</v>
      </c>
      <c r="CO13" s="303">
        <f>CL13/CE13-1</f>
        <v>0.48044012977264838</v>
      </c>
      <c r="CP13" s="166">
        <v>17.532</v>
      </c>
      <c r="CQ13" s="167">
        <f t="shared" si="27"/>
        <v>0.53640925223350877</v>
      </c>
      <c r="CR13" s="165">
        <f>CP13/BW13-1</f>
        <v>9.7808390732623707E-2</v>
      </c>
      <c r="CS13" s="303">
        <f>CP13/CL13-1</f>
        <v>5.5000601757130951E-2</v>
      </c>
      <c r="CT13" s="166">
        <v>22.146000000000001</v>
      </c>
      <c r="CU13" s="167">
        <f t="shared" si="28"/>
        <v>0.66568474209450523</v>
      </c>
      <c r="CV13" s="165">
        <f>CT13/CA13-1</f>
        <v>0.39484025226200803</v>
      </c>
      <c r="CW13" s="303">
        <f>CT13/CP13-1</f>
        <v>0.26317590691307324</v>
      </c>
      <c r="CX13" s="166">
        <v>40.460999999999999</v>
      </c>
      <c r="CY13" s="167">
        <f t="shared" si="29"/>
        <v>0.99985173104010672</v>
      </c>
      <c r="CZ13" s="165">
        <f>CX13/CE13-1</f>
        <v>2.6045305145463433</v>
      </c>
      <c r="DA13" s="165">
        <f>CX13/CT13-1</f>
        <v>0.8270116499593605</v>
      </c>
      <c r="DB13" s="326">
        <f t="shared" si="30"/>
        <v>96.757000000000005</v>
      </c>
      <c r="DC13" s="167">
        <f t="shared" si="31"/>
        <v>0.68234837799717907</v>
      </c>
      <c r="DD13" s="327">
        <f t="shared" si="32"/>
        <v>0.73922883916679294</v>
      </c>
      <c r="DE13" s="181">
        <v>23.13</v>
      </c>
      <c r="DF13" s="167">
        <f t="shared" si="33"/>
        <v>0.593472571457895</v>
      </c>
      <c r="DG13" s="165">
        <f>DE13/CL13-1</f>
        <v>0.39186424359128669</v>
      </c>
      <c r="DH13" s="303">
        <f>DE13/CX13-1</f>
        <v>-0.42833839994068368</v>
      </c>
      <c r="DI13" s="166">
        <v>24.646999999999998</v>
      </c>
      <c r="DJ13" s="167">
        <f t="shared" si="34"/>
        <v>0.53703017757925697</v>
      </c>
      <c r="DK13" s="165">
        <f>DI13/CP13-1</f>
        <v>0.40582934063426856</v>
      </c>
      <c r="DL13" s="303">
        <f>DI13/DE13-1</f>
        <v>6.5585819282317326E-2</v>
      </c>
      <c r="DM13" s="166">
        <v>27.768000000000001</v>
      </c>
      <c r="DN13" s="167">
        <f t="shared" si="35"/>
        <v>0.57555030468847157</v>
      </c>
      <c r="DO13" s="165">
        <f>DM13/CT13-1</f>
        <v>0.25386074234624756</v>
      </c>
      <c r="DP13" s="303">
        <f>DM13/DI13-1</f>
        <v>0.12662798717896706</v>
      </c>
      <c r="DQ13" s="166"/>
      <c r="DR13" s="167"/>
      <c r="DS13" s="165"/>
      <c r="DT13" s="165"/>
      <c r="DU13" s="326"/>
      <c r="DV13" s="167"/>
      <c r="DW13" s="327"/>
    </row>
    <row r="14" spans="1:127" s="124" customFormat="1" ht="16.95" customHeight="1" x14ac:dyDescent="0.4">
      <c r="A14" s="121" t="s">
        <v>210</v>
      </c>
      <c r="B14" s="217"/>
      <c r="C14" s="171"/>
      <c r="D14" s="243"/>
      <c r="E14" s="229">
        <v>1.7010000000000001</v>
      </c>
      <c r="F14" s="157">
        <f>E14/E$13</f>
        <v>0.19389034537786393</v>
      </c>
      <c r="G14" s="286">
        <v>0.61818885300000004</v>
      </c>
      <c r="H14" s="287">
        <v>0.60237327299999999</v>
      </c>
      <c r="I14" s="287">
        <v>0.77848917399999995</v>
      </c>
      <c r="J14" s="292">
        <v>-1.4383714000000001E-2</v>
      </c>
      <c r="K14" s="331">
        <f t="shared" si="0"/>
        <v>1.9846675859999998</v>
      </c>
      <c r="L14" s="157">
        <f>K14/K$13</f>
        <v>-0.63134470026546019</v>
      </c>
      <c r="M14" s="330"/>
      <c r="N14" s="284">
        <f>N13-N15</f>
        <v>0.5736539930000002</v>
      </c>
      <c r="O14" s="285"/>
      <c r="P14" s="284"/>
      <c r="Q14" s="300"/>
      <c r="R14" s="284">
        <f>R13-R15</f>
        <v>0.64937073899999964</v>
      </c>
      <c r="S14" s="285"/>
      <c r="T14" s="284"/>
      <c r="U14" s="305"/>
      <c r="V14" s="284">
        <f>V13-V15</f>
        <v>1.2041696740000001</v>
      </c>
      <c r="W14" s="285"/>
      <c r="X14" s="284"/>
      <c r="Y14" s="305"/>
      <c r="Z14" s="284">
        <f>Z13-Z15</f>
        <v>0.4960454349999992</v>
      </c>
      <c r="AA14" s="285"/>
      <c r="AB14" s="123"/>
      <c r="AC14" s="123"/>
      <c r="AD14" s="331">
        <f>AD13-AD15</f>
        <v>2.9232398410000009</v>
      </c>
      <c r="AE14" s="157">
        <f>AD14/AD$13</f>
        <v>0.16435401001742292</v>
      </c>
      <c r="AF14" s="330"/>
      <c r="AG14" s="284">
        <f>AG13-AG15</f>
        <v>1.6318683700000003</v>
      </c>
      <c r="AH14" s="157"/>
      <c r="AI14" s="123"/>
      <c r="AJ14" s="304"/>
      <c r="AK14" s="284">
        <f>AK13-AK15</f>
        <v>1.9464958900000005</v>
      </c>
      <c r="AL14" s="157"/>
      <c r="AM14" s="123"/>
      <c r="AN14" s="304"/>
      <c r="AO14" s="284">
        <f>AO13-AO15</f>
        <v>2.6638573080000008</v>
      </c>
      <c r="AP14" s="157"/>
      <c r="AQ14" s="123"/>
      <c r="AR14" s="304"/>
      <c r="AS14" s="284">
        <f>AS13-AS15</f>
        <v>2.0992788029999989</v>
      </c>
      <c r="AT14" s="157"/>
      <c r="AU14" s="123"/>
      <c r="AV14" s="123"/>
      <c r="AW14" s="331">
        <f>AW13-AW15</f>
        <v>8.3415003710000022</v>
      </c>
      <c r="AX14" s="157">
        <f>AW14/AW$13</f>
        <v>0.19987061775864098</v>
      </c>
      <c r="AY14" s="330"/>
      <c r="AZ14" s="284">
        <f>AZ13-AZ15</f>
        <v>3.3021634419999994</v>
      </c>
      <c r="BA14" s="157"/>
      <c r="BB14" s="123"/>
      <c r="BC14" s="304"/>
      <c r="BD14" s="284">
        <f>BD13-BD15</f>
        <v>1.4744018940000014</v>
      </c>
      <c r="BE14" s="157"/>
      <c r="BF14" s="123"/>
      <c r="BG14" s="304"/>
      <c r="BH14" s="284">
        <f>BH13-BH15</f>
        <v>2.6341666789999998</v>
      </c>
      <c r="BI14" s="157"/>
      <c r="BJ14" s="123"/>
      <c r="BK14" s="304"/>
      <c r="BL14" s="284">
        <f>BL13-BL15</f>
        <v>-6.2813643110000026</v>
      </c>
      <c r="BM14" s="157"/>
      <c r="BN14" s="123"/>
      <c r="BO14" s="123"/>
      <c r="BP14" s="331">
        <f>BP13-BP15</f>
        <v>1.1293677039999963</v>
      </c>
      <c r="BQ14" s="157">
        <f>BP14/BP$13</f>
        <v>2.8741942215480518E-2</v>
      </c>
      <c r="BR14" s="330"/>
      <c r="BS14" s="284">
        <f>BS13-BS15</f>
        <v>2.9980000000000011</v>
      </c>
      <c r="BT14" s="157"/>
      <c r="BU14" s="123"/>
      <c r="BV14" s="304"/>
      <c r="BW14" s="284">
        <f>BW13-BW15</f>
        <v>3.9310000000000009</v>
      </c>
      <c r="BX14" s="157"/>
      <c r="BY14" s="123"/>
      <c r="BZ14" s="304"/>
      <c r="CA14" s="284">
        <f>CA13-CA15</f>
        <v>3.353086974</v>
      </c>
      <c r="CB14" s="157"/>
      <c r="CC14" s="123"/>
      <c r="CD14" s="304"/>
      <c r="CE14" s="284">
        <f>CE13-CE15</f>
        <v>1.5453642200000015</v>
      </c>
      <c r="CF14" s="157"/>
      <c r="CG14" s="123"/>
      <c r="CH14" s="123"/>
      <c r="CI14" s="331">
        <f>CI13-CI15</f>
        <v>11.827451194000005</v>
      </c>
      <c r="CJ14" s="157">
        <f>CI14/CI$13</f>
        <v>0.21260109563589744</v>
      </c>
      <c r="CK14" s="330"/>
      <c r="CL14" s="284">
        <f>CL13-CL15</f>
        <v>3.8019999999999978</v>
      </c>
      <c r="CM14" s="157">
        <f>CL14/CL$13</f>
        <v>0.22878806113852437</v>
      </c>
      <c r="CN14" s="123"/>
      <c r="CO14" s="304"/>
      <c r="CP14" s="284">
        <f>CP13-CP15</f>
        <v>3.7249999999999996</v>
      </c>
      <c r="CQ14" s="157">
        <f>CP14/CP$13</f>
        <v>0.21246862879306408</v>
      </c>
      <c r="CR14" s="123"/>
      <c r="CS14" s="304"/>
      <c r="CT14" s="284">
        <f>CT13-CT15</f>
        <v>3.4299999999999997</v>
      </c>
      <c r="CU14" s="157">
        <f>CT14/CT$13</f>
        <v>0.15488124266233178</v>
      </c>
      <c r="CV14" s="123"/>
      <c r="CW14" s="304"/>
      <c r="CX14" s="284">
        <f>CX13-CX15</f>
        <v>10.423999999999999</v>
      </c>
      <c r="CY14" s="157">
        <f>CX14/CX$13</f>
        <v>0.25763080497268975</v>
      </c>
      <c r="CZ14" s="123"/>
      <c r="DA14" s="123"/>
      <c r="DB14" s="331">
        <f>DB13-DB15</f>
        <v>21.381</v>
      </c>
      <c r="DC14" s="157">
        <f>DB14/DB$13</f>
        <v>0.22097626011554719</v>
      </c>
      <c r="DD14" s="330"/>
      <c r="DE14" s="284">
        <f>DE13-DE15</f>
        <v>4.3550000000000004</v>
      </c>
      <c r="DF14" s="157">
        <f>DE14/DE$13</f>
        <v>0.18828361435365329</v>
      </c>
      <c r="DG14" s="123"/>
      <c r="DH14" s="304"/>
      <c r="DI14" s="284">
        <f>DI13-DI15</f>
        <v>6.0889999999999986</v>
      </c>
      <c r="DJ14" s="157">
        <f>DI14/DI$13</f>
        <v>0.24704832231103172</v>
      </c>
      <c r="DK14" s="123"/>
      <c r="DL14" s="304"/>
      <c r="DM14" s="284">
        <f>DM13-DM15</f>
        <v>6.5749999999999993</v>
      </c>
      <c r="DN14" s="157">
        <f>DM14/DM$13</f>
        <v>0.2367833477384039</v>
      </c>
      <c r="DO14" s="123"/>
      <c r="DP14" s="304"/>
      <c r="DQ14" s="284"/>
      <c r="DR14" s="157"/>
      <c r="DS14" s="123"/>
      <c r="DT14" s="123"/>
      <c r="DU14" s="331"/>
      <c r="DV14" s="157"/>
      <c r="DW14" s="330"/>
    </row>
    <row r="15" spans="1:127" s="177" customFormat="1" ht="16.95" customHeight="1" x14ac:dyDescent="0.4">
      <c r="A15" s="171" t="s">
        <v>211</v>
      </c>
      <c r="B15" s="212">
        <v>2.5150000000000001</v>
      </c>
      <c r="C15" s="233">
        <v>4.6890000000000001</v>
      </c>
      <c r="D15" s="234">
        <f>C15/B15-1</f>
        <v>0.86441351888667994</v>
      </c>
      <c r="E15" s="233">
        <v>7.0720000000000001</v>
      </c>
      <c r="F15" s="234">
        <f>E15/C15-1</f>
        <v>0.50821070590744299</v>
      </c>
      <c r="G15" s="253">
        <v>2.16</v>
      </c>
      <c r="H15" s="172">
        <v>2.81</v>
      </c>
      <c r="I15" s="172">
        <v>2.16</v>
      </c>
      <c r="J15" s="293">
        <f>-5.128-G15-H15-I15</f>
        <v>-12.258000000000001</v>
      </c>
      <c r="K15" s="332">
        <f t="shared" si="0"/>
        <v>-5.1280000000000001</v>
      </c>
      <c r="L15" s="173">
        <f t="shared" si="1"/>
        <v>-0.14706051046745053</v>
      </c>
      <c r="M15" s="333" t="s">
        <v>205</v>
      </c>
      <c r="N15" s="174">
        <v>1.94</v>
      </c>
      <c r="O15" s="173">
        <f t="shared" si="2"/>
        <v>0.19735503560528991</v>
      </c>
      <c r="P15" s="175">
        <f>N15/G15-1</f>
        <v>-0.10185185185185197</v>
      </c>
      <c r="Q15" s="202" t="s">
        <v>34</v>
      </c>
      <c r="R15" s="174">
        <v>3.85</v>
      </c>
      <c r="S15" s="173">
        <f t="shared" si="3"/>
        <v>0.33595113438045371</v>
      </c>
      <c r="T15" s="175">
        <f>R15/H15-1</f>
        <v>0.37010676156583622</v>
      </c>
      <c r="U15" s="306">
        <f>R15/N15-1</f>
        <v>0.98453608247422686</v>
      </c>
      <c r="V15" s="262">
        <v>2.84</v>
      </c>
      <c r="W15" s="173">
        <f t="shared" si="4"/>
        <v>0.2446167097329888</v>
      </c>
      <c r="X15" s="175">
        <f>V15/I15-1</f>
        <v>0.31481481481481466</v>
      </c>
      <c r="Y15" s="306">
        <f>V15/R15-1</f>
        <v>-0.26233766233766243</v>
      </c>
      <c r="Z15" s="174">
        <f t="shared" si="38"/>
        <v>6.2330000000000005</v>
      </c>
      <c r="AA15" s="173">
        <f t="shared" si="5"/>
        <v>0.4274447949526814</v>
      </c>
      <c r="AB15" s="193" t="s">
        <v>34</v>
      </c>
      <c r="AC15" s="175">
        <f>Z15/V15-1</f>
        <v>1.1947183098591552</v>
      </c>
      <c r="AD15" s="332">
        <v>14.863</v>
      </c>
      <c r="AE15" s="173">
        <f t="shared" si="6"/>
        <v>0.31302388273450993</v>
      </c>
      <c r="AF15" s="333" t="s">
        <v>34</v>
      </c>
      <c r="AG15" s="174">
        <v>5.9249999999999998</v>
      </c>
      <c r="AH15" s="173">
        <f t="shared" si="7"/>
        <v>0.36589884518001603</v>
      </c>
      <c r="AI15" s="175">
        <f>AG15/N15-1</f>
        <v>2.054123711340206</v>
      </c>
      <c r="AJ15" s="319">
        <f>AG15/Z15-1</f>
        <v>-4.9414407187550302E-2</v>
      </c>
      <c r="AK15" s="174">
        <v>7.6269999999999998</v>
      </c>
      <c r="AL15" s="173">
        <f t="shared" si="8"/>
        <v>0.35374055006725103</v>
      </c>
      <c r="AM15" s="175">
        <f>AK15/R15-1</f>
        <v>0.98103896103896093</v>
      </c>
      <c r="AN15" s="319">
        <f>AK15/AG15-1</f>
        <v>0.28725738396624467</v>
      </c>
      <c r="AO15" s="174">
        <v>9.5109999999999992</v>
      </c>
      <c r="AP15" s="173">
        <f t="shared" si="9"/>
        <v>0.45164720772159156</v>
      </c>
      <c r="AQ15" s="175">
        <f>AO15/V15-1</f>
        <v>2.3489436619718309</v>
      </c>
      <c r="AR15" s="319">
        <f>AO15/AK15-1</f>
        <v>0.24701717582273486</v>
      </c>
      <c r="AS15" s="174">
        <f>AW15-AG15-AK15-AO15</f>
        <v>10.330000000000002</v>
      </c>
      <c r="AT15" s="173">
        <f t="shared" si="10"/>
        <v>0.46280266848516949</v>
      </c>
      <c r="AU15" s="175">
        <f>AS15/Z15-1</f>
        <v>0.65730787742660057</v>
      </c>
      <c r="AV15" s="176">
        <f>AS15/AO15-1</f>
        <v>8.6110819051624654E-2</v>
      </c>
      <c r="AW15" s="332">
        <v>33.393000000000001</v>
      </c>
      <c r="AX15" s="173">
        <f t="shared" si="11"/>
        <v>0.41158344939790226</v>
      </c>
      <c r="AY15" s="333">
        <f>AW15/AD15-1</f>
        <v>1.2467200430599474</v>
      </c>
      <c r="AZ15" s="183">
        <v>11.404</v>
      </c>
      <c r="BA15" s="173">
        <f t="shared" si="13"/>
        <v>0.53217602314620382</v>
      </c>
      <c r="BB15" s="175">
        <f>AZ15/AG15-1</f>
        <v>0.92472573839662453</v>
      </c>
      <c r="BC15" s="319">
        <f>AZ15/AS15-1</f>
        <v>0.10396902226524674</v>
      </c>
      <c r="BD15" s="174">
        <f>16.124-AZ15</f>
        <v>4.7199999999999989</v>
      </c>
      <c r="BE15" s="173">
        <f t="shared" si="14"/>
        <v>0.32350638982597113</v>
      </c>
      <c r="BF15" s="175">
        <f>BD15/AK15-1</f>
        <v>-0.38114592893667243</v>
      </c>
      <c r="BG15" s="319">
        <f>BD15/AZ15-1</f>
        <v>-0.58611013679410751</v>
      </c>
      <c r="BH15" s="174">
        <v>8.8260000000000005</v>
      </c>
      <c r="BI15" s="173">
        <f t="shared" si="15"/>
        <v>0.45113473727254144</v>
      </c>
      <c r="BJ15" s="175">
        <f>BH15/AO15-1</f>
        <v>-7.2021869414362172E-2</v>
      </c>
      <c r="BK15" s="319">
        <f>BH15/BD15-1</f>
        <v>0.86991525423728877</v>
      </c>
      <c r="BL15" s="174">
        <f>BP15-AZ15-BD15-BH15</f>
        <v>13.214000000000002</v>
      </c>
      <c r="BM15" s="173">
        <f t="shared" si="16"/>
        <v>0.6329189445840504</v>
      </c>
      <c r="BN15" s="175">
        <f>BL15/AS15-1</f>
        <v>0.27918683446272996</v>
      </c>
      <c r="BO15" s="176">
        <f>BL15/BH15-1</f>
        <v>0.49716745977792898</v>
      </c>
      <c r="BP15" s="332">
        <v>38.164000000000001</v>
      </c>
      <c r="BQ15" s="173">
        <f t="shared" si="17"/>
        <v>0.49913027556532091</v>
      </c>
      <c r="BR15" s="333">
        <f t="shared" si="18"/>
        <v>0.14287425508340079</v>
      </c>
      <c r="BS15" s="183">
        <v>9.5619999999999994</v>
      </c>
      <c r="BT15" s="173">
        <f t="shared" si="19"/>
        <v>0.44849906191369604</v>
      </c>
      <c r="BU15" s="175">
        <f>BS15/AZ15-1</f>
        <v>-0.16152227288670651</v>
      </c>
      <c r="BV15" s="319">
        <f>BS15/BL15-1</f>
        <v>-0.27637354321174523</v>
      </c>
      <c r="BW15" s="174">
        <f>21.601-BS15</f>
        <v>12.039</v>
      </c>
      <c r="BX15" s="173">
        <f t="shared" si="20"/>
        <v>0.4082400813835198</v>
      </c>
      <c r="BY15" s="175">
        <f>BW15/BD15-1</f>
        <v>1.5506355932203397</v>
      </c>
      <c r="BZ15" s="319">
        <f>BW15/BS15-1</f>
        <v>0.25904622463919691</v>
      </c>
      <c r="CA15" s="174">
        <v>12.523999999999999</v>
      </c>
      <c r="CB15" s="173">
        <f t="shared" si="21"/>
        <v>0.51189405705877533</v>
      </c>
      <c r="CC15" s="175">
        <f>CA15/BH15-1</f>
        <v>0.41898934964876489</v>
      </c>
      <c r="CD15" s="319">
        <f>CA15/BW15-1</f>
        <v>4.0285738018107864E-2</v>
      </c>
      <c r="CE15" s="174">
        <f>CI15-CA15-BW15-BS15</f>
        <v>9.6796759999999988</v>
      </c>
      <c r="CF15" s="173">
        <f t="shared" si="22"/>
        <v>0.38229368088467619</v>
      </c>
      <c r="CG15" s="175">
        <f>CE15/BL15-1</f>
        <v>-0.26746813985167273</v>
      </c>
      <c r="CH15" s="176">
        <f>CE15/CA15-1</f>
        <v>-0.22710986905142128</v>
      </c>
      <c r="CI15" s="332">
        <v>43.804676000000001</v>
      </c>
      <c r="CJ15" s="173">
        <f t="shared" si="24"/>
        <v>0.43545146924330985</v>
      </c>
      <c r="CK15" s="333">
        <f t="shared" si="25"/>
        <v>0.1478009642595115</v>
      </c>
      <c r="CL15" s="183">
        <v>12.816000000000001</v>
      </c>
      <c r="CM15" s="173">
        <f t="shared" si="26"/>
        <v>0.36222831463214722</v>
      </c>
      <c r="CN15" s="175">
        <f>CL15/BS15-1</f>
        <v>0.34030537544446782</v>
      </c>
      <c r="CO15" s="319">
        <f>CL15/CE15-1</f>
        <v>0.32401125822806498</v>
      </c>
      <c r="CP15" s="174">
        <v>13.807</v>
      </c>
      <c r="CQ15" s="173">
        <f t="shared" si="27"/>
        <v>0.42243911393954231</v>
      </c>
      <c r="CR15" s="175">
        <f>CP15/BW15-1</f>
        <v>0.14685605116704048</v>
      </c>
      <c r="CS15" s="319">
        <f>CP15/CL15-1</f>
        <v>7.7325218476903768E-2</v>
      </c>
      <c r="CT15" s="174">
        <v>18.716000000000001</v>
      </c>
      <c r="CU15" s="173">
        <f t="shared" si="28"/>
        <v>0.56258266201755447</v>
      </c>
      <c r="CV15" s="175">
        <f>CT15/CA15-1</f>
        <v>0.49441073139572045</v>
      </c>
      <c r="CW15" s="319">
        <f>CT15/CP15-1</f>
        <v>0.35554428912870284</v>
      </c>
      <c r="CX15" s="174">
        <v>30.036999999999999</v>
      </c>
      <c r="CY15" s="173">
        <f t="shared" si="29"/>
        <v>0.74225912471890676</v>
      </c>
      <c r="CZ15" s="175">
        <f>CX15/CE15-1</f>
        <v>2.1030997318505293</v>
      </c>
      <c r="DA15" s="176">
        <f>CX15/CT15-1</f>
        <v>0.60488352212011098</v>
      </c>
      <c r="DB15" s="332">
        <f t="shared" ref="DB15" si="44">CL15+CP15+CT15+CX15</f>
        <v>75.376000000000005</v>
      </c>
      <c r="DC15" s="173">
        <f t="shared" si="31"/>
        <v>0.53156558533145271</v>
      </c>
      <c r="DD15" s="333">
        <f t="shared" si="32"/>
        <v>0.72072954038057491</v>
      </c>
      <c r="DE15" s="183">
        <v>18.774999999999999</v>
      </c>
      <c r="DF15" s="173">
        <f t="shared" si="33"/>
        <v>0.48173141068404579</v>
      </c>
      <c r="DG15" s="175">
        <f>DE15/CL15-1</f>
        <v>0.46496566791510596</v>
      </c>
      <c r="DH15" s="319">
        <f>DE15/CX15-1</f>
        <v>-0.37493757698838104</v>
      </c>
      <c r="DI15" s="174">
        <v>18.558</v>
      </c>
      <c r="DJ15" s="173">
        <f t="shared" si="34"/>
        <v>0.40435777317790605</v>
      </c>
      <c r="DK15" s="175">
        <f>DI15/CP15-1</f>
        <v>0.34410081842543638</v>
      </c>
      <c r="DL15" s="319">
        <f>DI15/DE15-1</f>
        <v>-1.1557922769640405E-2</v>
      </c>
      <c r="DM15" s="174">
        <v>21.193000000000001</v>
      </c>
      <c r="DN15" s="173">
        <f t="shared" si="35"/>
        <v>0.43926957675247691</v>
      </c>
      <c r="DO15" s="175">
        <f>DM15/CT15-1</f>
        <v>0.13234665526821976</v>
      </c>
      <c r="DP15" s="319">
        <f>DM15/DI15-1</f>
        <v>0.14198728311240449</v>
      </c>
      <c r="DQ15" s="174"/>
      <c r="DR15" s="173"/>
      <c r="DS15" s="175"/>
      <c r="DT15" s="176"/>
      <c r="DU15" s="332"/>
      <c r="DV15" s="173"/>
      <c r="DW15" s="333"/>
    </row>
    <row r="16" spans="1:127" s="120" customFormat="1" ht="16.95" customHeight="1" x14ac:dyDescent="0.4">
      <c r="A16" s="117" t="s">
        <v>35</v>
      </c>
      <c r="B16" s="215"/>
      <c r="C16" s="239"/>
      <c r="D16" s="240"/>
      <c r="E16" s="239"/>
      <c r="F16" s="240"/>
      <c r="G16" s="359">
        <v>3.2000000000000001E-2</v>
      </c>
      <c r="H16" s="358">
        <v>3.3000000000000002E-2</v>
      </c>
      <c r="I16" s="356">
        <v>5.6000000000000001E-2</v>
      </c>
      <c r="J16" s="357">
        <v>0.10299999999999999</v>
      </c>
      <c r="K16" s="334">
        <v>0.22600000000000001</v>
      </c>
      <c r="L16" s="160">
        <f>K16/K$4</f>
        <v>6.4812159449383414E-3</v>
      </c>
      <c r="M16" s="335"/>
      <c r="N16" s="351">
        <v>0.17799999999999999</v>
      </c>
      <c r="O16" s="352">
        <f>N16/N$4</f>
        <v>1.8107833163784334E-2</v>
      </c>
      <c r="P16" s="353"/>
      <c r="Q16" s="363"/>
      <c r="R16" s="351">
        <v>0.104</v>
      </c>
      <c r="S16" s="352">
        <f>R16/R$4</f>
        <v>9.0750436300174511E-3</v>
      </c>
      <c r="T16" s="353"/>
      <c r="U16" s="354"/>
      <c r="V16" s="351">
        <v>0.191</v>
      </c>
      <c r="W16" s="352">
        <f>V16/V$4</f>
        <v>1.645133505598622E-2</v>
      </c>
      <c r="X16" s="353"/>
      <c r="Y16" s="354"/>
      <c r="Z16" s="351">
        <v>0.28599999999999998</v>
      </c>
      <c r="AA16" s="352">
        <f>Z16/Z$4</f>
        <v>1.9613221780277051E-2</v>
      </c>
      <c r="AB16" s="353"/>
      <c r="AC16" s="353"/>
      <c r="AD16" s="334">
        <v>0.76100000000000001</v>
      </c>
      <c r="AE16" s="160">
        <f>AD16/AD$4</f>
        <v>1.6027126068826083E-2</v>
      </c>
      <c r="AF16" s="335"/>
      <c r="AG16" s="351">
        <v>0.248</v>
      </c>
      <c r="AH16" s="352">
        <f>AG16/AG$4</f>
        <v>1.5315259680108688E-2</v>
      </c>
      <c r="AI16" s="353"/>
      <c r="AJ16" s="354"/>
      <c r="AK16" s="351">
        <v>0.27300000000000002</v>
      </c>
      <c r="AL16" s="352">
        <f>AK16/AK$4</f>
        <v>1.2661750382635315E-2</v>
      </c>
      <c r="AM16" s="353"/>
      <c r="AN16" s="354"/>
      <c r="AO16" s="351">
        <v>0.311</v>
      </c>
      <c r="AP16" s="352">
        <f>AO16/AO$4</f>
        <v>1.4768403070278097E-2</v>
      </c>
      <c r="AQ16" s="353"/>
      <c r="AR16" s="354"/>
      <c r="AS16" s="351">
        <v>0.38500000000000001</v>
      </c>
      <c r="AT16" s="352">
        <f>AS16/AS$4</f>
        <v>1.7248695776068752E-2</v>
      </c>
      <c r="AU16" s="353"/>
      <c r="AV16" s="353"/>
      <c r="AW16" s="351">
        <v>1.218</v>
      </c>
      <c r="AX16" s="352">
        <f>AW16/AW$4</f>
        <v>1.5012387068147363E-2</v>
      </c>
      <c r="AY16" s="355"/>
      <c r="AZ16" s="351">
        <v>0.442</v>
      </c>
      <c r="BA16" s="352">
        <f>AZ16/AZ$4</f>
        <v>2.0626254141583835E-2</v>
      </c>
      <c r="BB16" s="353"/>
      <c r="BC16" s="354"/>
      <c r="BD16" s="351">
        <f>0.952-AZ16</f>
        <v>0.51</v>
      </c>
      <c r="BE16" s="352">
        <f>BD16/BD$4</f>
        <v>3.495513957865367E-2</v>
      </c>
      <c r="BF16" s="353"/>
      <c r="BG16" s="354"/>
      <c r="BH16" s="351">
        <f>1.367-0.952</f>
        <v>0.41500000000000004</v>
      </c>
      <c r="BI16" s="352">
        <f>BH16/BH$4</f>
        <v>2.12124309957064E-2</v>
      </c>
      <c r="BJ16" s="353"/>
      <c r="BK16" s="354"/>
      <c r="BL16" s="351">
        <f>BP16-1.367</f>
        <v>0.71600000000000019</v>
      </c>
      <c r="BM16" s="352">
        <f>BL16/BL$4</f>
        <v>3.4294684752700179E-2</v>
      </c>
      <c r="BN16" s="353"/>
      <c r="BO16" s="353"/>
      <c r="BP16" s="351">
        <v>2.0830000000000002</v>
      </c>
      <c r="BQ16" s="352">
        <f>BP16/BP$4</f>
        <v>2.7242646577994013E-2</v>
      </c>
      <c r="BR16" s="355"/>
      <c r="BS16" s="351">
        <v>0.58561300000000005</v>
      </c>
      <c r="BT16" s="352">
        <f>BS16/BS$4</f>
        <v>2.7467776735459665E-2</v>
      </c>
      <c r="BU16" s="353"/>
      <c r="BV16" s="354"/>
      <c r="BW16" s="351">
        <f>1.150416-BS16</f>
        <v>0.56480300000000006</v>
      </c>
      <c r="BX16" s="352">
        <f>BW16/BW$4</f>
        <v>1.9152356731095287E-2</v>
      </c>
      <c r="BY16" s="353"/>
      <c r="BZ16" s="354"/>
      <c r="CA16" s="351">
        <f>1.78297-BW16-BS16</f>
        <v>0.63255399999999973</v>
      </c>
      <c r="CB16" s="352">
        <f>CA16/CA$4</f>
        <v>2.5854410201912845E-2</v>
      </c>
      <c r="CC16" s="353"/>
      <c r="CD16" s="354"/>
      <c r="CE16" s="351">
        <f>CI16-1.78297</f>
        <v>0.74003000000000019</v>
      </c>
      <c r="CF16" s="352">
        <f>CE16/CE$4</f>
        <v>2.9227093206951042E-2</v>
      </c>
      <c r="CG16" s="353"/>
      <c r="CH16" s="353"/>
      <c r="CI16" s="351">
        <v>2.5230000000000001</v>
      </c>
      <c r="CJ16" s="352">
        <f>CI16/CI$4</f>
        <v>2.5080520100202792E-2</v>
      </c>
      <c r="CK16" s="355"/>
      <c r="CL16" s="351">
        <v>0.94599999999999995</v>
      </c>
      <c r="CM16" s="352">
        <f>CL16/CL$4</f>
        <v>2.6737514485175657E-2</v>
      </c>
      <c r="CN16" s="353"/>
      <c r="CO16" s="354"/>
      <c r="CP16" s="351">
        <v>0.97399999999999998</v>
      </c>
      <c r="CQ16" s="352">
        <f>CP16/CP$4</f>
        <v>2.980051401297271E-2</v>
      </c>
      <c r="CR16" s="353"/>
      <c r="CS16" s="354"/>
      <c r="CT16" s="351">
        <v>1.0029999999999999</v>
      </c>
      <c r="CU16" s="352">
        <f>CT16/CT$4</f>
        <v>3.0149092220752672E-2</v>
      </c>
      <c r="CV16" s="353"/>
      <c r="CW16" s="354"/>
      <c r="CX16" s="351">
        <v>0.97599999999999998</v>
      </c>
      <c r="CY16" s="352">
        <f>CX16/CX$4</f>
        <v>2.4118417475968074E-2</v>
      </c>
      <c r="CZ16" s="353"/>
      <c r="DA16" s="353"/>
      <c r="DB16" s="351">
        <f>CX16+CT16+CP16+CL16</f>
        <v>3.899</v>
      </c>
      <c r="DC16" s="352">
        <f>DB16/DB$4</f>
        <v>2.749647390691114E-2</v>
      </c>
      <c r="DD16" s="355"/>
      <c r="DE16" s="351">
        <v>0.98399999999999999</v>
      </c>
      <c r="DF16" s="352">
        <f>DE16/DE$4</f>
        <v>2.524760096474573E-2</v>
      </c>
      <c r="DG16" s="353"/>
      <c r="DH16" s="354"/>
      <c r="DI16" s="351">
        <v>0.94899999999999995</v>
      </c>
      <c r="DJ16" s="352">
        <f>DI16/DI$4</f>
        <v>2.0677633729164393E-2</v>
      </c>
      <c r="DK16" s="353"/>
      <c r="DL16" s="354"/>
      <c r="DM16" s="351">
        <v>1.02</v>
      </c>
      <c r="DN16" s="352">
        <f>DM16/DM$4</f>
        <v>2.1141649048625793E-2</v>
      </c>
      <c r="DO16" s="353"/>
      <c r="DP16" s="354"/>
      <c r="DQ16" s="351"/>
      <c r="DR16" s="352"/>
      <c r="DS16" s="353"/>
      <c r="DT16" s="353"/>
      <c r="DU16" s="351"/>
      <c r="DV16" s="352"/>
      <c r="DW16" s="355"/>
    </row>
    <row r="17" spans="1:127" s="177" customFormat="1" ht="16.95" customHeight="1" x14ac:dyDescent="0.4">
      <c r="A17" s="171" t="s">
        <v>36</v>
      </c>
      <c r="B17" s="216"/>
      <c r="C17" s="241"/>
      <c r="D17" s="242"/>
      <c r="E17" s="241"/>
      <c r="F17" s="242"/>
      <c r="G17" s="253">
        <f t="shared" ref="G17:J17" si="45">G8+G16</f>
        <v>3.0720000000000001</v>
      </c>
      <c r="H17" s="172">
        <f t="shared" si="45"/>
        <v>3.1930000000000001</v>
      </c>
      <c r="I17" s="172">
        <f t="shared" si="45"/>
        <v>2.806</v>
      </c>
      <c r="J17" s="293">
        <f t="shared" si="45"/>
        <v>1.9530000000000001</v>
      </c>
      <c r="K17" s="332">
        <f>K8+K16</f>
        <v>11.026</v>
      </c>
      <c r="L17" s="173">
        <f>K17/K$4</f>
        <v>0.31620303986234582</v>
      </c>
      <c r="M17" s="333"/>
      <c r="N17" s="183">
        <f>N8+N16</f>
        <v>2.758</v>
      </c>
      <c r="O17" s="173">
        <f>N17/N$4</f>
        <v>0.28056968463886062</v>
      </c>
      <c r="P17" s="165">
        <f>N17/G17-1</f>
        <v>-0.10221354166666663</v>
      </c>
      <c r="Q17" s="201">
        <f t="shared" ref="Q17" si="46">N17/J17-1</f>
        <v>0.41218637992831542</v>
      </c>
      <c r="R17" s="174">
        <f>R8+R16</f>
        <v>4.3440000000000003</v>
      </c>
      <c r="S17" s="173">
        <f>R17/R$4</f>
        <v>0.37905759162303665</v>
      </c>
      <c r="T17" s="175">
        <f>R17/H17-1</f>
        <v>0.36047604134043221</v>
      </c>
      <c r="U17" s="306">
        <f>R17/N17-1</f>
        <v>0.57505438723712854</v>
      </c>
      <c r="V17" s="174">
        <f>V8+V16</f>
        <v>4.3209999999999997</v>
      </c>
      <c r="W17" s="173">
        <f>V17/V$4</f>
        <v>0.3721791559000861</v>
      </c>
      <c r="X17" s="175">
        <f>V17/I17-1</f>
        <v>0.53991446899501061</v>
      </c>
      <c r="Y17" s="306">
        <f>V17/R17-1</f>
        <v>-5.2946593001842457E-3</v>
      </c>
      <c r="Z17" s="174">
        <f>Z8+Z16</f>
        <v>6.8119999999999985</v>
      </c>
      <c r="AA17" s="173">
        <f>Z17/Z$4</f>
        <v>0.46715128240296244</v>
      </c>
      <c r="AB17" s="165">
        <f>Z17/J17-1</f>
        <v>2.4879672299027127</v>
      </c>
      <c r="AC17" s="165">
        <f>Z17/V17-1</f>
        <v>0.57648692432307302</v>
      </c>
      <c r="AD17" s="332">
        <f>AD8+AD16</f>
        <v>18.236999999999998</v>
      </c>
      <c r="AE17" s="173">
        <f>AD17/AD$4</f>
        <v>0.38408238911587544</v>
      </c>
      <c r="AF17" s="327">
        <f>AD17/K17-1</f>
        <v>0.65399963722111365</v>
      </c>
      <c r="AG17" s="183">
        <f>AG8+AG16</f>
        <v>7.6930000000000023</v>
      </c>
      <c r="AH17" s="173">
        <f>AG17/AG$4</f>
        <v>0.47508182548014583</v>
      </c>
      <c r="AI17" s="175">
        <f>AG17/N17-1</f>
        <v>1.7893401015228436</v>
      </c>
      <c r="AJ17" s="319">
        <f>AG17/Z17-1</f>
        <v>0.12933059307105177</v>
      </c>
      <c r="AK17" s="174">
        <f>AK8+AK16</f>
        <v>9.8409999999999975</v>
      </c>
      <c r="AL17" s="173">
        <f>AK17/AK$4</f>
        <v>0.4564259542692824</v>
      </c>
      <c r="AM17" s="175">
        <f>AK17/R17-1</f>
        <v>1.2654235727440142</v>
      </c>
      <c r="AN17" s="319">
        <f>AK17/AG17-1</f>
        <v>0.27921487066163975</v>
      </c>
      <c r="AO17" s="174">
        <f>AO8+AO16</f>
        <v>12.082728178</v>
      </c>
      <c r="AP17" s="173">
        <f>AO17/AO$4</f>
        <v>0.5737704177534112</v>
      </c>
      <c r="AQ17" s="175">
        <f>AO17/V17-1</f>
        <v>1.796280531821338</v>
      </c>
      <c r="AR17" s="319">
        <f>AO17/AK17-1</f>
        <v>0.22779475439487884</v>
      </c>
      <c r="AS17" s="174">
        <f>AS8+AS16</f>
        <v>13.309271822000005</v>
      </c>
      <c r="AT17" s="173">
        <f>AS17/AS$4</f>
        <v>0.5962794302822918</v>
      </c>
      <c r="AU17" s="175">
        <f>AS17/Z17-1</f>
        <v>0.95379797739283734</v>
      </c>
      <c r="AV17" s="176">
        <f>AS17/AO17-1</f>
        <v>0.10151214410610288</v>
      </c>
      <c r="AW17" s="332">
        <f>AW8+AW16</f>
        <v>42.927000000000007</v>
      </c>
      <c r="AX17" s="173">
        <f>AW17/AW$4</f>
        <v>0.5290942033451248</v>
      </c>
      <c r="AY17" s="333">
        <f>AW17/AD17-1</f>
        <v>1.3538410922849158</v>
      </c>
      <c r="AZ17" s="183">
        <f>AZ8+AZ16</f>
        <v>13.875999999999998</v>
      </c>
      <c r="BA17" s="173">
        <f>AZ17/AZ$4</f>
        <v>0.64753371599234677</v>
      </c>
      <c r="BB17" s="175">
        <f>AZ17/AG17-1</f>
        <v>0.80371766541011236</v>
      </c>
      <c r="BC17" s="319">
        <f>AZ17/AS17-1</f>
        <v>4.2581456414707786E-2</v>
      </c>
      <c r="BD17" s="174">
        <f>BD8+BD16</f>
        <v>6.8772617620000007</v>
      </c>
      <c r="BE17" s="173">
        <f>BD17/BD$4</f>
        <v>0.47136400943068174</v>
      </c>
      <c r="BF17" s="175">
        <f>BD17/AK17-1</f>
        <v>-0.30116230444060543</v>
      </c>
      <c r="BG17" s="319">
        <f>BD17/AZ17-1</f>
        <v>-0.50437721519169776</v>
      </c>
      <c r="BH17" s="174">
        <f>BH8+BH16</f>
        <v>12.280000000000001</v>
      </c>
      <c r="BI17" s="173">
        <f>BH17/BH$4</f>
        <v>0.62768350030668585</v>
      </c>
      <c r="BJ17" s="175">
        <f>BH17/AO17-1</f>
        <v>1.6326761563600245E-2</v>
      </c>
      <c r="BK17" s="319">
        <f>BH17/BD17-1</f>
        <v>0.78559438697718131</v>
      </c>
      <c r="BL17" s="174">
        <f>BL8+BL16</f>
        <v>9.6597382379999992</v>
      </c>
      <c r="BM17" s="173">
        <f>BL17/BL$4</f>
        <v>0.46267832076230919</v>
      </c>
      <c r="BN17" s="175">
        <f>BL17/AS17-1</f>
        <v>-0.27420986157690364</v>
      </c>
      <c r="BO17" s="176">
        <f>BL17/BH17-1</f>
        <v>-0.21337636498371348</v>
      </c>
      <c r="BP17" s="332">
        <f>BP8+BP16</f>
        <v>42.692999999999998</v>
      </c>
      <c r="BQ17" s="173">
        <f>BP17/BP$4</f>
        <v>0.5583630870639934</v>
      </c>
      <c r="BR17" s="333">
        <f t="shared" si="18"/>
        <v>-5.4511146830668045E-3</v>
      </c>
      <c r="BS17" s="183">
        <f>BS8+BS16</f>
        <v>11.480613</v>
      </c>
      <c r="BT17" s="173">
        <f>BS17/BS$4</f>
        <v>0.53849029080675426</v>
      </c>
      <c r="BU17" s="175">
        <f>BS17/AZ17-1</f>
        <v>-0.17262806284231758</v>
      </c>
      <c r="BV17" s="319">
        <f>BS17/BL17-1</f>
        <v>0.18850146009515512</v>
      </c>
      <c r="BW17" s="174">
        <f>BW8+BW16</f>
        <v>16.654803000000005</v>
      </c>
      <c r="BX17" s="173">
        <f>BW17/BW$4</f>
        <v>0.56476103763987806</v>
      </c>
      <c r="BY17" s="175">
        <f>BW17/BD17-1</f>
        <v>1.4217200938933816</v>
      </c>
      <c r="BZ17" s="319">
        <f>BW17/BS17-1</f>
        <v>0.45068934907918279</v>
      </c>
      <c r="CA17" s="174">
        <f>CA8+CA16</f>
        <v>13.961554000000001</v>
      </c>
      <c r="CB17" s="173">
        <f>CA17/CA$4</f>
        <v>0.57065127115180259</v>
      </c>
      <c r="CC17" s="175">
        <f>CA17/BH17-1</f>
        <v>0.13693436482084698</v>
      </c>
      <c r="CD17" s="319">
        <f>CA17/BW17-1</f>
        <v>-0.16171004844668546</v>
      </c>
      <c r="CE17" s="174">
        <f>CE8+CE16</f>
        <v>12.139029999999995</v>
      </c>
      <c r="CF17" s="173">
        <f>CE17/CE$4</f>
        <v>0.47942456556082141</v>
      </c>
      <c r="CG17" s="175">
        <f>CE17/BL17-1</f>
        <v>0.2566624168185867</v>
      </c>
      <c r="CH17" s="176">
        <f>CE17/CA17-1</f>
        <v>-0.13053876380809804</v>
      </c>
      <c r="CI17" s="332">
        <f>CI8+CI16</f>
        <v>54.236000000000004</v>
      </c>
      <c r="CJ17" s="173">
        <f>CI17/CI$4</f>
        <v>0.53914668575291269</v>
      </c>
      <c r="CK17" s="333">
        <f t="shared" si="25"/>
        <v>0.27037219216264985</v>
      </c>
      <c r="CL17" s="183">
        <f>CL8+CL16</f>
        <v>17.651</v>
      </c>
      <c r="CM17" s="173">
        <f>CL17/CL$4</f>
        <v>0.49888358158333568</v>
      </c>
      <c r="CN17" s="175">
        <f>CL17/BS17-1</f>
        <v>0.53746145785072619</v>
      </c>
      <c r="CO17" s="319">
        <f>CL17/CE17-1</f>
        <v>0.45407005337329331</v>
      </c>
      <c r="CP17" s="174">
        <f>CP8+CP16</f>
        <v>16.236999999999995</v>
      </c>
      <c r="CQ17" s="173">
        <f>CP17/CP$4</f>
        <v>0.49678741892057265</v>
      </c>
      <c r="CR17" s="175">
        <f>CP17/BW17-1</f>
        <v>-2.5086036742674733E-2</v>
      </c>
      <c r="CS17" s="319">
        <f>CP17/CL17-1</f>
        <v>-8.0108775706759117E-2</v>
      </c>
      <c r="CT17" s="174">
        <f>CT8+CT16</f>
        <v>18.483000000000001</v>
      </c>
      <c r="CU17" s="173">
        <f>CT17/CT$4</f>
        <v>0.55557893471203557</v>
      </c>
      <c r="CV17" s="175">
        <f>CT17/CA17-1</f>
        <v>0.32384976629392392</v>
      </c>
      <c r="CW17" s="319">
        <f>CT17/CP17-1</f>
        <v>0.13832604545174632</v>
      </c>
      <c r="CX17" s="174">
        <f>CX8+CX16</f>
        <v>20.404999999999998</v>
      </c>
      <c r="CY17" s="173">
        <f>CX17/CX$4</f>
        <v>0.50423802110361526</v>
      </c>
      <c r="CZ17" s="175">
        <f>CX17/CE17-1</f>
        <v>0.68094155793337752</v>
      </c>
      <c r="DA17" s="176">
        <f>CX17/CT17-1</f>
        <v>0.10398744792512016</v>
      </c>
      <c r="DB17" s="332">
        <f>DB8+DB16</f>
        <v>72.775999999999996</v>
      </c>
      <c r="DC17" s="173">
        <f>DB17/DB$4</f>
        <v>0.5132299012693935</v>
      </c>
      <c r="DD17" s="333">
        <f t="shared" si="32"/>
        <v>0.34183936868500608</v>
      </c>
      <c r="DE17" s="183">
        <f>DE8+DE16</f>
        <v>20.875</v>
      </c>
      <c r="DF17" s="173">
        <f>DE17/DE$4</f>
        <v>0.53561348591368607</v>
      </c>
      <c r="DG17" s="175">
        <f>DE17/CL17-1</f>
        <v>0.18265254093252503</v>
      </c>
      <c r="DH17" s="319">
        <f>DE17/CX17-1</f>
        <v>2.3033570203381704E-2</v>
      </c>
      <c r="DI17" s="174">
        <f>DI8+DI16</f>
        <v>24.093000000000007</v>
      </c>
      <c r="DJ17" s="173">
        <f>DI17/DI$4</f>
        <v>0.5249591458764572</v>
      </c>
      <c r="DK17" s="175">
        <f>DI17/CP17-1</f>
        <v>0.48383322042249266</v>
      </c>
      <c r="DL17" s="319">
        <f>DI17/DE17-1</f>
        <v>0.15415568862275486</v>
      </c>
      <c r="DM17" s="174">
        <f>DM8+DM16</f>
        <v>25.684000000000001</v>
      </c>
      <c r="DN17" s="173">
        <f>DM17/DM$4</f>
        <v>0.53235501388716167</v>
      </c>
      <c r="DO17" s="175">
        <f>DM17/CT17-1</f>
        <v>0.3896012552074879</v>
      </c>
      <c r="DP17" s="319">
        <f>DM17/DI17-1</f>
        <v>6.6035778026812597E-2</v>
      </c>
      <c r="DQ17" s="45"/>
      <c r="DR17" s="374"/>
      <c r="DS17" s="175"/>
      <c r="DT17" s="176"/>
      <c r="DU17" s="332"/>
      <c r="DV17" s="173"/>
      <c r="DW17" s="333"/>
    </row>
    <row r="18" spans="1:127" s="120" customFormat="1" ht="16.95" customHeight="1" x14ac:dyDescent="0.4">
      <c r="A18" s="117"/>
      <c r="B18" s="213"/>
      <c r="C18" s="235"/>
      <c r="D18" s="236"/>
      <c r="E18" s="235"/>
      <c r="F18" s="236"/>
      <c r="G18" s="254"/>
      <c r="H18" s="119"/>
      <c r="I18" s="118"/>
      <c r="J18" s="294"/>
      <c r="Q18" s="364"/>
      <c r="U18" s="185"/>
      <c r="Y18" s="185"/>
      <c r="AC18" s="185"/>
      <c r="AG18" s="184"/>
      <c r="AJ18" s="185"/>
      <c r="AN18" s="185"/>
      <c r="AR18" s="185"/>
      <c r="AV18" s="185"/>
      <c r="AY18" s="185"/>
      <c r="AZ18" s="184"/>
      <c r="BC18" s="185"/>
      <c r="BG18" s="185"/>
      <c r="BK18" s="185"/>
      <c r="BO18" s="185"/>
      <c r="BR18" s="185"/>
      <c r="BS18" s="184"/>
      <c r="BV18" s="185"/>
      <c r="BZ18" s="185"/>
      <c r="CD18" s="185"/>
      <c r="CH18" s="185"/>
      <c r="CK18" s="185"/>
      <c r="CL18" s="184"/>
      <c r="CO18" s="185"/>
      <c r="CS18" s="185"/>
      <c r="CW18" s="185"/>
      <c r="DA18" s="185"/>
      <c r="DD18" s="185"/>
      <c r="DE18" s="184"/>
      <c r="DH18" s="185"/>
      <c r="DL18" s="185"/>
      <c r="DP18" s="185"/>
      <c r="DT18" s="185"/>
      <c r="DW18" s="185"/>
    </row>
    <row r="19" spans="1:127" ht="16.95" customHeight="1" thickBot="1" x14ac:dyDescent="0.45">
      <c r="A19" s="7" t="s">
        <v>37</v>
      </c>
      <c r="B19" s="214"/>
      <c r="C19" s="237"/>
      <c r="D19" s="238"/>
      <c r="E19" s="237"/>
      <c r="F19" s="238"/>
      <c r="G19" s="255"/>
      <c r="H19" s="3"/>
      <c r="I19" s="95"/>
      <c r="J19" s="295"/>
      <c r="P19" s="92"/>
      <c r="T19" s="92"/>
      <c r="AG19" s="186"/>
      <c r="AR19" s="321"/>
      <c r="AY19" s="187"/>
      <c r="AZ19" s="186"/>
      <c r="BK19" s="321"/>
      <c r="BR19" s="187"/>
      <c r="BS19" s="186"/>
      <c r="CD19" s="321"/>
      <c r="CK19" s="187"/>
      <c r="CL19" s="186"/>
      <c r="CW19" s="321"/>
      <c r="DD19" s="187"/>
      <c r="DE19" s="186"/>
      <c r="DP19" s="321"/>
      <c r="DW19" s="187"/>
    </row>
    <row r="20" spans="1:127" ht="16.95" customHeight="1" x14ac:dyDescent="0.4">
      <c r="A20" s="207" t="s">
        <v>1</v>
      </c>
      <c r="B20" s="96">
        <v>2014</v>
      </c>
      <c r="C20" s="207">
        <v>2015</v>
      </c>
      <c r="D20" s="283" t="s">
        <v>16</v>
      </c>
      <c r="E20" s="207">
        <v>2016</v>
      </c>
      <c r="F20" s="283" t="s">
        <v>16</v>
      </c>
      <c r="G20" s="188" t="s">
        <v>2</v>
      </c>
      <c r="H20" s="8" t="s">
        <v>3</v>
      </c>
      <c r="I20" s="8" t="s">
        <v>4</v>
      </c>
      <c r="J20" s="263" t="s">
        <v>5</v>
      </c>
      <c r="K20" s="336">
        <v>2017</v>
      </c>
      <c r="L20" s="8" t="s">
        <v>38</v>
      </c>
      <c r="M20" s="323"/>
      <c r="N20" s="8" t="s">
        <v>6</v>
      </c>
      <c r="O20" s="8" t="s">
        <v>38</v>
      </c>
      <c r="P20" s="48" t="s">
        <v>7</v>
      </c>
      <c r="Q20" s="365" t="s">
        <v>9</v>
      </c>
      <c r="R20" s="8" t="s">
        <v>8</v>
      </c>
      <c r="S20" s="8" t="s">
        <v>38</v>
      </c>
      <c r="T20" s="48" t="s">
        <v>7</v>
      </c>
      <c r="U20" s="203" t="s">
        <v>9</v>
      </c>
      <c r="V20" s="8" t="s">
        <v>10</v>
      </c>
      <c r="W20" s="8" t="s">
        <v>38</v>
      </c>
      <c r="X20" s="48" t="s">
        <v>7</v>
      </c>
      <c r="Y20" s="203" t="s">
        <v>9</v>
      </c>
      <c r="Z20" s="8" t="s">
        <v>11</v>
      </c>
      <c r="AA20" s="8" t="s">
        <v>38</v>
      </c>
      <c r="AB20" s="48" t="s">
        <v>7</v>
      </c>
      <c r="AC20" s="48" t="s">
        <v>9</v>
      </c>
      <c r="AD20" s="336">
        <v>2018</v>
      </c>
      <c r="AE20" s="8" t="s">
        <v>38</v>
      </c>
      <c r="AF20" s="323" t="s">
        <v>7</v>
      </c>
      <c r="AG20" s="8" t="s">
        <v>12</v>
      </c>
      <c r="AH20" s="8" t="s">
        <v>38</v>
      </c>
      <c r="AI20" s="48" t="s">
        <v>7</v>
      </c>
      <c r="AJ20" s="203" t="s">
        <v>9</v>
      </c>
      <c r="AK20" s="8" t="s">
        <v>13</v>
      </c>
      <c r="AL20" s="8" t="s">
        <v>38</v>
      </c>
      <c r="AM20" s="48" t="s">
        <v>7</v>
      </c>
      <c r="AN20" s="203" t="s">
        <v>9</v>
      </c>
      <c r="AO20" s="8" t="s">
        <v>14</v>
      </c>
      <c r="AP20" s="8" t="s">
        <v>38</v>
      </c>
      <c r="AQ20" s="48" t="s">
        <v>7</v>
      </c>
      <c r="AR20" s="203" t="s">
        <v>9</v>
      </c>
      <c r="AS20" s="8" t="s">
        <v>15</v>
      </c>
      <c r="AT20" s="8" t="s">
        <v>38</v>
      </c>
      <c r="AU20" s="48" t="s">
        <v>7</v>
      </c>
      <c r="AV20" s="48" t="s">
        <v>9</v>
      </c>
      <c r="AW20" s="336">
        <v>2019</v>
      </c>
      <c r="AX20" s="8" t="s">
        <v>38</v>
      </c>
      <c r="AY20" s="323" t="s">
        <v>16</v>
      </c>
      <c r="AZ20" s="188" t="s">
        <v>17</v>
      </c>
      <c r="BA20" s="8" t="s">
        <v>38</v>
      </c>
      <c r="BB20" s="48" t="s">
        <v>7</v>
      </c>
      <c r="BC20" s="203" t="s">
        <v>9</v>
      </c>
      <c r="BD20" s="8" t="s">
        <v>18</v>
      </c>
      <c r="BE20" s="8" t="s">
        <v>38</v>
      </c>
      <c r="BF20" s="48" t="s">
        <v>7</v>
      </c>
      <c r="BG20" s="203" t="s">
        <v>9</v>
      </c>
      <c r="BH20" s="8" t="s">
        <v>19</v>
      </c>
      <c r="BI20" s="8" t="s">
        <v>38</v>
      </c>
      <c r="BJ20" s="48" t="s">
        <v>7</v>
      </c>
      <c r="BK20" s="203" t="s">
        <v>9</v>
      </c>
      <c r="BL20" s="8" t="s">
        <v>20</v>
      </c>
      <c r="BM20" s="8" t="s">
        <v>38</v>
      </c>
      <c r="BN20" s="48" t="s">
        <v>7</v>
      </c>
      <c r="BO20" s="48" t="s">
        <v>9</v>
      </c>
      <c r="BP20" s="336">
        <v>2020</v>
      </c>
      <c r="BQ20" s="8" t="s">
        <v>38</v>
      </c>
      <c r="BR20" s="323" t="s">
        <v>16</v>
      </c>
      <c r="BS20" s="188" t="s">
        <v>21</v>
      </c>
      <c r="BT20" s="8" t="s">
        <v>38</v>
      </c>
      <c r="BU20" s="48" t="s">
        <v>7</v>
      </c>
      <c r="BV20" s="203" t="s">
        <v>9</v>
      </c>
      <c r="BW20" s="8" t="s">
        <v>22</v>
      </c>
      <c r="BX20" s="8" t="s">
        <v>38</v>
      </c>
      <c r="BY20" s="48" t="s">
        <v>7</v>
      </c>
      <c r="BZ20" s="203" t="s">
        <v>9</v>
      </c>
      <c r="CA20" s="8" t="s">
        <v>23</v>
      </c>
      <c r="CB20" s="8" t="s">
        <v>38</v>
      </c>
      <c r="CC20" s="48" t="s">
        <v>7</v>
      </c>
      <c r="CD20" s="203" t="s">
        <v>9</v>
      </c>
      <c r="CE20" s="8" t="s">
        <v>24</v>
      </c>
      <c r="CF20" s="8" t="s">
        <v>38</v>
      </c>
      <c r="CG20" s="48" t="s">
        <v>7</v>
      </c>
      <c r="CH20" s="48" t="s">
        <v>9</v>
      </c>
      <c r="CI20" s="336">
        <v>2021</v>
      </c>
      <c r="CJ20" s="8" t="s">
        <v>38</v>
      </c>
      <c r="CK20" s="323" t="s">
        <v>16</v>
      </c>
      <c r="CL20" s="188" t="s">
        <v>25</v>
      </c>
      <c r="CM20" s="8" t="s">
        <v>38</v>
      </c>
      <c r="CN20" s="48" t="s">
        <v>7</v>
      </c>
      <c r="CO20" s="203" t="s">
        <v>9</v>
      </c>
      <c r="CP20" s="8" t="s">
        <v>26</v>
      </c>
      <c r="CQ20" s="8" t="s">
        <v>38</v>
      </c>
      <c r="CR20" s="48" t="s">
        <v>7</v>
      </c>
      <c r="CS20" s="203" t="s">
        <v>9</v>
      </c>
      <c r="CT20" s="8" t="s">
        <v>27</v>
      </c>
      <c r="CU20" s="8" t="s">
        <v>38</v>
      </c>
      <c r="CV20" s="48" t="s">
        <v>7</v>
      </c>
      <c r="CW20" s="203" t="s">
        <v>9</v>
      </c>
      <c r="CX20" s="8" t="s">
        <v>28</v>
      </c>
      <c r="CY20" s="8" t="s">
        <v>38</v>
      </c>
      <c r="CZ20" s="48" t="s">
        <v>7</v>
      </c>
      <c r="DA20" s="48" t="s">
        <v>9</v>
      </c>
      <c r="DB20" s="336">
        <v>2022</v>
      </c>
      <c r="DC20" s="8" t="s">
        <v>38</v>
      </c>
      <c r="DD20" s="323" t="s">
        <v>16</v>
      </c>
      <c r="DE20" s="188" t="s">
        <v>29</v>
      </c>
      <c r="DF20" s="8" t="s">
        <v>38</v>
      </c>
      <c r="DG20" s="48" t="s">
        <v>7</v>
      </c>
      <c r="DH20" s="203" t="s">
        <v>9</v>
      </c>
      <c r="DI20" s="8" t="s">
        <v>30</v>
      </c>
      <c r="DJ20" s="8" t="s">
        <v>38</v>
      </c>
      <c r="DK20" s="48" t="s">
        <v>7</v>
      </c>
      <c r="DL20" s="203" t="s">
        <v>9</v>
      </c>
      <c r="DM20" s="8" t="s">
        <v>197</v>
      </c>
      <c r="DN20" s="8" t="s">
        <v>38</v>
      </c>
      <c r="DO20" s="48" t="s">
        <v>7</v>
      </c>
      <c r="DP20" s="203" t="s">
        <v>9</v>
      </c>
      <c r="DQ20" s="8"/>
      <c r="DR20" s="8"/>
      <c r="DS20" s="48"/>
      <c r="DT20" s="48"/>
      <c r="DU20" s="336"/>
      <c r="DV20" s="8"/>
      <c r="DW20" s="323"/>
    </row>
    <row r="21" spans="1:127" s="10" customFormat="1" ht="16.95" customHeight="1" x14ac:dyDescent="0.4">
      <c r="A21" s="37" t="s">
        <v>39</v>
      </c>
      <c r="B21" s="215"/>
      <c r="C21" s="239"/>
      <c r="D21" s="240"/>
      <c r="E21" s="239"/>
      <c r="F21" s="240"/>
      <c r="G21" s="256">
        <v>5.87</v>
      </c>
      <c r="H21" s="38">
        <v>5.78</v>
      </c>
      <c r="I21" s="38">
        <v>4.45</v>
      </c>
      <c r="J21" s="264">
        <f>13.799+7.102-G21-H21-I21</f>
        <v>4.8009999999999975</v>
      </c>
      <c r="K21" s="337">
        <f t="shared" ref="K21:K32" si="47">G21+H21+I21+J21</f>
        <v>20.901</v>
      </c>
      <c r="L21" s="11">
        <f t="shared" ref="L21:L37" si="48">K21/K$4</f>
        <v>0.59939776312016047</v>
      </c>
      <c r="M21" s="240"/>
      <c r="N21" s="267">
        <v>5.47</v>
      </c>
      <c r="O21" s="39">
        <f t="shared" ref="O21:O32" si="49">N21/$N$34</f>
        <v>0.55645981688708035</v>
      </c>
      <c r="P21" s="40">
        <f t="shared" ref="P21:P32" si="50">N21/G21-1</f>
        <v>-6.8143100511073307E-2</v>
      </c>
      <c r="Q21" s="366">
        <f t="shared" ref="Q21:Q37" si="51">N21/J21-1</f>
        <v>0.13934596958966927</v>
      </c>
      <c r="R21" s="267">
        <v>6.28</v>
      </c>
      <c r="S21" s="39">
        <f t="shared" ref="S21:S32" si="52">R21/$R$34</f>
        <v>0.54799301919720766</v>
      </c>
      <c r="T21" s="40">
        <f t="shared" ref="T21:T32" si="53">R21/H21-1</f>
        <v>8.6505190311418678E-2</v>
      </c>
      <c r="U21" s="307">
        <f t="shared" ref="U21:U36" si="54">R21/N21-1</f>
        <v>0.14808043875685573</v>
      </c>
      <c r="V21" s="194">
        <v>5.56</v>
      </c>
      <c r="W21" s="39">
        <f t="shared" ref="W21:W32" si="55">V21/$V$34</f>
        <v>0.47889750215331611</v>
      </c>
      <c r="X21" s="40">
        <f t="shared" ref="X21:X32" si="56">V21/I21-1</f>
        <v>0.24943820224719082</v>
      </c>
      <c r="Y21" s="314">
        <f t="shared" ref="Y21:Y36" si="57">V21/R21-1</f>
        <v>-0.11464968152866251</v>
      </c>
      <c r="Z21" s="194">
        <f t="shared" ref="Z21:Z32" si="58">AD21-N21-R21-V21</f>
        <v>7.7550000000000017</v>
      </c>
      <c r="AA21" s="39">
        <f t="shared" ref="AA21:AA32" si="59">Z21/$Z$34</f>
        <v>0.5318565256155271</v>
      </c>
      <c r="AB21" s="40">
        <f t="shared" ref="AB21:AB32" si="60">Z21/J21-1</f>
        <v>0.61528848156634153</v>
      </c>
      <c r="AC21" s="84">
        <f t="shared" ref="AC21:AC36" si="61">Z21/V21-1</f>
        <v>0.39478417266187082</v>
      </c>
      <c r="AD21" s="337">
        <f>AD23+AD22</f>
        <v>25.065000000000001</v>
      </c>
      <c r="AE21" s="11">
        <f t="shared" ref="AE21:AE32" si="62">AD21/$AD$34</f>
        <v>0.52789536867378528</v>
      </c>
      <c r="AF21" s="338">
        <f t="shared" ref="AF21:AF32" si="63">AD21/K21-1</f>
        <v>0.19922491746806381</v>
      </c>
      <c r="AG21" s="194">
        <f>AG23+AG22</f>
        <v>7.02</v>
      </c>
      <c r="AH21" s="11">
        <f t="shared" ref="AH21:AH32" si="64">AG21/$AG$34</f>
        <v>0.43360098826436066</v>
      </c>
      <c r="AI21" s="40">
        <f t="shared" ref="AI21:AI32" si="65">AG21/N21-1</f>
        <v>0.28336380255941496</v>
      </c>
      <c r="AJ21" s="314">
        <f t="shared" ref="AJ21:AJ32" si="66">AG21/Z21-1</f>
        <v>-9.4777562862669473E-2</v>
      </c>
      <c r="AK21" s="194">
        <f>AK23+AK22</f>
        <v>10.39</v>
      </c>
      <c r="AL21" s="11">
        <f t="shared" ref="AL21:AL37" si="67">AK21/AK$4</f>
        <v>0.48188859514864807</v>
      </c>
      <c r="AM21" s="40">
        <f t="shared" ref="AM21:AM32" si="68">AK21/R21-1</f>
        <v>0.65445859872611467</v>
      </c>
      <c r="AN21" s="314">
        <f>AK21/AG21-1</f>
        <v>0.48005698005698028</v>
      </c>
      <c r="AO21" s="194">
        <f>26.497603-AG21-AK21</f>
        <v>9.0876030000000014</v>
      </c>
      <c r="AP21" s="11">
        <f t="shared" ref="AP21:AP32" si="69">AO21/$AO$34</f>
        <v>0.4314904858553919</v>
      </c>
      <c r="AQ21" s="40">
        <f t="shared" ref="AQ21:AQ32" si="70">AO21/V21-1</f>
        <v>0.63446097122302203</v>
      </c>
      <c r="AR21" s="314">
        <f>AO21/AK21-1</f>
        <v>-0.12535101058710285</v>
      </c>
      <c r="AS21" s="194">
        <f>AW21-AO21-AK21-AG21</f>
        <v>10.284396999999995</v>
      </c>
      <c r="AT21" s="11">
        <f t="shared" ref="AT21:AT32" si="71">AS21/$AS$34</f>
        <v>0.46076960787080939</v>
      </c>
      <c r="AU21" s="40">
        <f t="shared" ref="AU21:AU32" si="72">AS21/Z21-1</f>
        <v>0.32616337846550514</v>
      </c>
      <c r="AV21" s="84">
        <f>AS21/AO21-1</f>
        <v>0.13169523360560453</v>
      </c>
      <c r="AW21" s="337">
        <v>36.781999999999996</v>
      </c>
      <c r="AX21" s="11">
        <f t="shared" ref="AX21:AX32" si="73">AW21/$AW$34</f>
        <v>0.45335436875254209</v>
      </c>
      <c r="AY21" s="338">
        <f>AW21/AD21-1</f>
        <v>0.46746459206064217</v>
      </c>
      <c r="AZ21" s="189">
        <f>AZ23+AZ22</f>
        <v>9.2010000000000005</v>
      </c>
      <c r="BA21" s="11">
        <f t="shared" ref="BA21:BA32" si="74">AZ21/$AZ$34</f>
        <v>0.42945157526254379</v>
      </c>
      <c r="BB21" s="40">
        <f t="shared" ref="BB21:BB34" si="75">AZ21/AG21-1</f>
        <v>0.31068376068376091</v>
      </c>
      <c r="BC21" s="314">
        <f t="shared" ref="BC21:BC36" si="76">AZ21/AS21-1</f>
        <v>-0.1053437552050932</v>
      </c>
      <c r="BD21" s="194">
        <f>BD23+BD22</f>
        <v>5.8106259999999992</v>
      </c>
      <c r="BE21" s="11">
        <f t="shared" ref="BE21:BE32" si="77">BD21/$BD$34</f>
        <v>0.3981474775346705</v>
      </c>
      <c r="BF21" s="40">
        <f t="shared" ref="BF21:BF36" si="78">BD21/AK21-1</f>
        <v>-0.44074821944177101</v>
      </c>
      <c r="BG21" s="314">
        <f t="shared" ref="BG21:BG36" si="79">BD21/AZ21-1</f>
        <v>-0.36847886099337046</v>
      </c>
      <c r="BH21" s="194">
        <f>BH23+BH22</f>
        <v>8.1809920000000016</v>
      </c>
      <c r="BI21" s="11">
        <f t="shared" ref="BI21:BI32" si="80">BH21/$BH$34</f>
        <v>0.41814684456504159</v>
      </c>
      <c r="BJ21" s="40">
        <f t="shared" ref="BJ21:BJ36" si="81">BH21/AO21-1</f>
        <v>-9.97634909887678E-2</v>
      </c>
      <c r="BK21" s="314">
        <f t="shared" ref="BK21:BK36" si="82">BH21/BD21-1</f>
        <v>0.40793642543849873</v>
      </c>
      <c r="BL21" s="194">
        <f>BL23+BL22</f>
        <v>9.7433820000000004</v>
      </c>
      <c r="BM21" s="11">
        <f t="shared" ref="BM21:BM32" si="83">BL21/$BL$34</f>
        <v>0.46670486187002164</v>
      </c>
      <c r="BN21" s="40">
        <f t="shared" ref="BN21:BN36" si="84">BL21/AS21-1</f>
        <v>-5.2605417702174972E-2</v>
      </c>
      <c r="BO21" s="84">
        <f t="shared" ref="BO21:BO36" si="85">BL21/BH21-1</f>
        <v>0.19097806231811476</v>
      </c>
      <c r="BP21" s="337">
        <f>BP23+BP22</f>
        <v>32.936</v>
      </c>
      <c r="BQ21" s="11">
        <f t="shared" ref="BQ21:BQ32" si="86">BP21/$BP$34</f>
        <v>0.430755548580322</v>
      </c>
      <c r="BR21" s="338">
        <f t="shared" ref="BR21:BR36" si="87">BP21/AW21-1</f>
        <v>-0.10456201402860088</v>
      </c>
      <c r="BS21" s="189">
        <f>BS23+BS22</f>
        <v>9.207414</v>
      </c>
      <c r="BT21" s="11">
        <f t="shared" ref="BT21:BT32" si="88">BS21/$BS$34</f>
        <v>0.43185594304992247</v>
      </c>
      <c r="BU21" s="40">
        <f t="shared" ref="BU21:BU32" si="89">BS21/AZ21-1</f>
        <v>6.9709814150620275E-4</v>
      </c>
      <c r="BV21" s="314">
        <f t="shared" ref="BV21:BV32" si="90">BS21/BL21-1</f>
        <v>-5.5008414942573358E-2</v>
      </c>
      <c r="BW21" s="194">
        <f>25.996-BS21</f>
        <v>16.788585999999999</v>
      </c>
      <c r="BX21" s="11">
        <f t="shared" ref="BX21:BX32" si="91">BW21/$BW$34</f>
        <v>0.56932786388913448</v>
      </c>
      <c r="BY21" s="40">
        <f t="shared" ref="BY21:BY32" si="92">BW21/BD21-1</f>
        <v>1.8892904138039519</v>
      </c>
      <c r="BZ21" s="314">
        <f t="shared" ref="BZ21:BZ32" si="93">BW21/BS21-1</f>
        <v>0.82337690039787481</v>
      </c>
      <c r="CA21" s="194">
        <f>CA22+CA23</f>
        <v>10.722381</v>
      </c>
      <c r="CB21" s="11">
        <f t="shared" ref="CB21:CB32" si="94">CA21/$CA$34</f>
        <v>0.4384655575706044</v>
      </c>
      <c r="CC21" s="40">
        <f t="shared" ref="CC21:CC36" si="95">CA21/BH21-1</f>
        <v>0.31064557941139626</v>
      </c>
      <c r="CD21" s="314">
        <f t="shared" ref="CD21:CD36" si="96">CA21/BW21-1</f>
        <v>-0.36132911967690418</v>
      </c>
      <c r="CE21" s="194">
        <v>10.171329000000002</v>
      </c>
      <c r="CF21" s="11">
        <f t="shared" ref="CF21:CF32" si="97">CE21/$CE$34</f>
        <v>0.40157915668262206</v>
      </c>
      <c r="CG21" s="40">
        <f t="shared" ref="CG21:CG36" si="98">CE21/BL21-1</f>
        <v>4.3921812775071567E-2</v>
      </c>
      <c r="CH21" s="84">
        <f t="shared" ref="CH21:CH36" si="99">CE21/CA21-1</f>
        <v>-5.1392689739340414E-2</v>
      </c>
      <c r="CI21" s="337">
        <f>CI23+CI22</f>
        <v>46.89</v>
      </c>
      <c r="CJ21" s="11">
        <f t="shared" ref="CJ21:CJ32" si="100">CI21/$CI$34</f>
        <v>0.46613581461930748</v>
      </c>
      <c r="CK21" s="338">
        <f t="shared" ref="CK21:CK36" si="101">CI21/BP21-1</f>
        <v>0.42367014816614046</v>
      </c>
      <c r="CL21" s="189">
        <f>CL23+CL22</f>
        <v>20.5</v>
      </c>
      <c r="CM21" s="11">
        <f t="shared" ref="CM21:CM36" si="102">CL21/$CL$34</f>
        <v>0.57932515684168884</v>
      </c>
      <c r="CN21" s="40">
        <f t="shared" ref="CN21:CN32" si="103">CL21/BS21-1</f>
        <v>1.2264666278718432</v>
      </c>
      <c r="CO21" s="314">
        <f t="shared" ref="CO21:CO32" si="104">CL21/CE21-1</f>
        <v>1.015469168286661</v>
      </c>
      <c r="CP21" s="194">
        <v>17.100000000000001</v>
      </c>
      <c r="CQ21" s="11">
        <f t="shared" ref="CQ21:CQ36" si="105">CP21/$CP$34</f>
        <v>0.52291978838567632</v>
      </c>
      <c r="CR21" s="40">
        <f t="shared" ref="CR21:CR32" si="106">CP21/BW21-1</f>
        <v>1.8549149999886883E-2</v>
      </c>
      <c r="CS21" s="314">
        <f t="shared" ref="CS21:CS37" si="107">CP21/CL21-1</f>
        <v>-0.16585365853658529</v>
      </c>
      <c r="CT21" s="194">
        <f>CT22+CT23</f>
        <v>15.5</v>
      </c>
      <c r="CU21" s="11">
        <f t="shared" ref="CU21:CU36" si="108">CT21/CT$34</f>
        <v>0.46598322460391428</v>
      </c>
      <c r="CV21" s="40">
        <f t="shared" ref="CV21:CV32" si="109">CT21/CA21-1</f>
        <v>0.44557444843640592</v>
      </c>
      <c r="CW21" s="314">
        <f t="shared" ref="CW21:CW37" si="110">CT21/CP21-1</f>
        <v>-9.356725146198841E-2</v>
      </c>
      <c r="CX21" s="194">
        <f>CX22+CX23</f>
        <v>21.042000000000002</v>
      </c>
      <c r="CY21" s="11">
        <f t="shared" ref="CY21:CY36" si="111">CX21/CX$34</f>
        <v>0.52008205838008847</v>
      </c>
      <c r="CZ21" s="40">
        <f t="shared" ref="CZ21:CZ32" si="112">CX21/CE21-1</f>
        <v>1.0687562067847769</v>
      </c>
      <c r="DA21" s="84">
        <f t="shared" ref="DA21:DA37" si="113">CX21/CT21-1</f>
        <v>0.35754838709677439</v>
      </c>
      <c r="DB21" s="337">
        <f>DB23+DB22</f>
        <v>74.242000000000004</v>
      </c>
      <c r="DC21" s="11">
        <f t="shared" ref="DC21:DC36" si="114">DB21/$DB$34</f>
        <v>0.52357209853384012</v>
      </c>
      <c r="DD21" s="338">
        <f t="shared" ref="DD21:DD36" si="115">DB21/CI21-1</f>
        <v>0.58332267007890826</v>
      </c>
      <c r="DE21" s="189">
        <f>DE23+DE22</f>
        <v>18.351500000000001</v>
      </c>
      <c r="DF21" s="11">
        <f t="shared" ref="DF21:DF36" si="116">DE21/$DE$34</f>
        <v>0.47087969045077599</v>
      </c>
      <c r="DG21" s="40">
        <f t="shared" ref="DG21:DG33" si="117">DE21/CL21-1</f>
        <v>-0.10480487804878047</v>
      </c>
      <c r="DH21" s="314">
        <f t="shared" ref="DH21:DH33" si="118">DE21/CX21-1</f>
        <v>-0.12786332097709341</v>
      </c>
      <c r="DI21" s="194">
        <f>DI22+DI23</f>
        <v>21.957000000000001</v>
      </c>
      <c r="DJ21" s="11">
        <f t="shared" ref="DJ21:DJ36" si="119">DI21/$DI$34</f>
        <v>0.47841812833642006</v>
      </c>
      <c r="DK21" s="40">
        <f t="shared" ref="DK21:DK32" si="120">DI21/CP21-1</f>
        <v>0.28403508771929808</v>
      </c>
      <c r="DL21" s="314">
        <f t="shared" ref="DL21:DL36" si="121">DI21/DE21-1</f>
        <v>0.19646895349154025</v>
      </c>
      <c r="DM21" s="194">
        <f>DM22+DM23</f>
        <v>25.825000000000003</v>
      </c>
      <c r="DN21" s="11">
        <f t="shared" ref="DN21:DN36" si="122">DM21/$DM$34</f>
        <v>0.53528863094621204</v>
      </c>
      <c r="DO21" s="40">
        <f t="shared" ref="DO21:DO33" si="123">DM21/CT21-1</f>
        <v>0.66612903225806464</v>
      </c>
      <c r="DP21" s="314">
        <f t="shared" ref="DP21:DP37" si="124">DM21/DI21-1</f>
        <v>0.17616249943070561</v>
      </c>
      <c r="DQ21" s="194"/>
      <c r="DR21" s="11"/>
      <c r="DS21" s="40"/>
      <c r="DT21" s="84"/>
      <c r="DU21" s="337"/>
      <c r="DV21" s="11"/>
      <c r="DW21" s="338"/>
    </row>
    <row r="22" spans="1:127" s="6" customFormat="1" ht="16.95" customHeight="1" x14ac:dyDescent="0.4">
      <c r="A22" s="41" t="s">
        <v>40</v>
      </c>
      <c r="B22" s="216"/>
      <c r="C22" s="241"/>
      <c r="D22" s="242"/>
      <c r="E22" s="241"/>
      <c r="F22" s="242"/>
      <c r="G22" s="257">
        <v>4.32</v>
      </c>
      <c r="H22" s="42">
        <v>3.7</v>
      </c>
      <c r="I22" s="42">
        <v>2.56</v>
      </c>
      <c r="J22" s="296">
        <f>13.8-G22-H22-I22</f>
        <v>3.22</v>
      </c>
      <c r="K22" s="339">
        <f t="shared" si="47"/>
        <v>13.8</v>
      </c>
      <c r="L22" s="56">
        <f t="shared" si="48"/>
        <v>0.39575566389446515</v>
      </c>
      <c r="M22" s="242"/>
      <c r="N22" s="42">
        <v>3.47</v>
      </c>
      <c r="O22" s="55">
        <f t="shared" si="49"/>
        <v>0.35300101729399797</v>
      </c>
      <c r="P22" s="54">
        <f t="shared" si="50"/>
        <v>-0.1967592592592593</v>
      </c>
      <c r="Q22" s="367">
        <f t="shared" si="51"/>
        <v>7.7639751552795122E-2</v>
      </c>
      <c r="R22" s="42">
        <v>4.26</v>
      </c>
      <c r="S22" s="55">
        <f t="shared" si="52"/>
        <v>0.37172774869109942</v>
      </c>
      <c r="T22" s="54">
        <f t="shared" si="53"/>
        <v>0.15135135135135114</v>
      </c>
      <c r="U22" s="308">
        <f>R22/N22-1</f>
        <v>0.22766570605187297</v>
      </c>
      <c r="V22" s="205">
        <v>2.95</v>
      </c>
      <c r="W22" s="55">
        <f t="shared" si="55"/>
        <v>0.25409130060292856</v>
      </c>
      <c r="X22" s="54">
        <f t="shared" si="56"/>
        <v>0.15234375</v>
      </c>
      <c r="Y22" s="315">
        <f>V22/R22-1</f>
        <v>-0.30751173708920176</v>
      </c>
      <c r="Z22" s="195">
        <f t="shared" si="58"/>
        <v>4.1390000000000002</v>
      </c>
      <c r="AA22" s="55">
        <f t="shared" si="59"/>
        <v>0.2838625608668815</v>
      </c>
      <c r="AB22" s="54">
        <f t="shared" si="60"/>
        <v>0.28540372670807446</v>
      </c>
      <c r="AC22" s="85">
        <f>Z22/V22-1</f>
        <v>0.40305084745762709</v>
      </c>
      <c r="AD22" s="339">
        <v>14.819000000000001</v>
      </c>
      <c r="AE22" s="56">
        <f t="shared" si="62"/>
        <v>0.31210378888397466</v>
      </c>
      <c r="AF22" s="340">
        <f t="shared" si="63"/>
        <v>7.3840579710144905E-2</v>
      </c>
      <c r="AG22" s="195">
        <v>3.8519999999999999</v>
      </c>
      <c r="AH22" s="56">
        <f t="shared" si="64"/>
        <v>0.23792464484249534</v>
      </c>
      <c r="AI22" s="54">
        <f t="shared" si="65"/>
        <v>0.11008645533141204</v>
      </c>
      <c r="AJ22" s="315">
        <f t="shared" si="66"/>
        <v>-6.9340420391398983E-2</v>
      </c>
      <c r="AK22" s="195">
        <f>8.783-AG22</f>
        <v>4.9309999999999992</v>
      </c>
      <c r="AL22" s="56">
        <f t="shared" si="67"/>
        <v>0.22869996753397334</v>
      </c>
      <c r="AM22" s="54">
        <f t="shared" si="68"/>
        <v>0.15751173708920163</v>
      </c>
      <c r="AN22" s="315">
        <f>AK22/AG22-1</f>
        <v>0.28011422637590844</v>
      </c>
      <c r="AO22" s="195">
        <f>13.786053-AG22-AK22</f>
        <v>5.0030530000000013</v>
      </c>
      <c r="AP22" s="56">
        <f t="shared" si="69"/>
        <v>0.23755106486609023</v>
      </c>
      <c r="AQ22" s="54">
        <f t="shared" si="70"/>
        <v>0.69595016949152577</v>
      </c>
      <c r="AR22" s="315">
        <f>AO22/AK22-1</f>
        <v>1.4612249036706881E-2</v>
      </c>
      <c r="AS22" s="195">
        <f>AW22-AO22-AK22-AG22</f>
        <v>5.8639469999999978</v>
      </c>
      <c r="AT22" s="89">
        <f t="shared" si="71"/>
        <v>0.26272114541719943</v>
      </c>
      <c r="AU22" s="54">
        <f t="shared" si="72"/>
        <v>0.41675453007972885</v>
      </c>
      <c r="AV22" s="85">
        <f>AS22/AO22-1</f>
        <v>0.17207373177937479</v>
      </c>
      <c r="AW22" s="339">
        <v>19.649999999999999</v>
      </c>
      <c r="AX22" s="56">
        <f t="shared" si="73"/>
        <v>0.24219491452306705</v>
      </c>
      <c r="AY22" s="340">
        <f>AW22/AD22-1</f>
        <v>0.32600040488561954</v>
      </c>
      <c r="AZ22" s="190">
        <v>5.63</v>
      </c>
      <c r="BA22" s="56">
        <f t="shared" si="74"/>
        <v>0.26277712952158694</v>
      </c>
      <c r="BB22" s="54">
        <f>AZ22/AG22-1</f>
        <v>0.46157840083073731</v>
      </c>
      <c r="BC22" s="315">
        <f>AZ22/AS22-1</f>
        <v>-3.9895824433610616E-2</v>
      </c>
      <c r="BD22" s="195">
        <f>8.192753-AZ22</f>
        <v>2.5627529999999998</v>
      </c>
      <c r="BE22" s="56">
        <f t="shared" si="77"/>
        <v>0.17560132806592774</v>
      </c>
      <c r="BF22" s="54">
        <f>BD22/AK22-1</f>
        <v>-0.48027722571486509</v>
      </c>
      <c r="BG22" s="315">
        <f>BD22/AZ22-1</f>
        <v>-0.54480408525754886</v>
      </c>
      <c r="BH22" s="195">
        <f>13.720643-AZ22-BD22</f>
        <v>5.5278900000000002</v>
      </c>
      <c r="BI22" s="56">
        <f t="shared" si="80"/>
        <v>0.28254150115324</v>
      </c>
      <c r="BJ22" s="54">
        <f t="shared" si="81"/>
        <v>0.10490334601692175</v>
      </c>
      <c r="BK22" s="315">
        <f t="shared" si="82"/>
        <v>1.1570124003366695</v>
      </c>
      <c r="BL22" s="195">
        <f>BP22-AZ22-BD22-BH22</f>
        <v>6.8383570000000011</v>
      </c>
      <c r="BM22" s="89">
        <f t="shared" si="83"/>
        <v>0.32755509935902094</v>
      </c>
      <c r="BN22" s="54">
        <f t="shared" si="84"/>
        <v>0.16616964648555044</v>
      </c>
      <c r="BO22" s="85">
        <f t="shared" si="85"/>
        <v>0.23706459426652859</v>
      </c>
      <c r="BP22" s="339">
        <v>20.559000000000001</v>
      </c>
      <c r="BQ22" s="56">
        <f t="shared" si="86"/>
        <v>0.26888217522658614</v>
      </c>
      <c r="BR22" s="340">
        <f t="shared" si="87"/>
        <v>4.6259541984732921E-2</v>
      </c>
      <c r="BS22" s="190">
        <v>6.2937719999999997</v>
      </c>
      <c r="BT22" s="56">
        <f t="shared" si="88"/>
        <v>0.2951972011252233</v>
      </c>
      <c r="BU22" s="54">
        <f t="shared" si="89"/>
        <v>0.11789911190053282</v>
      </c>
      <c r="BV22" s="315">
        <f t="shared" si="90"/>
        <v>-7.9636819195020303E-2</v>
      </c>
      <c r="BW22" s="195">
        <f>19.338619-BS22</f>
        <v>13.044847000000001</v>
      </c>
      <c r="BX22" s="56">
        <f t="shared" si="91"/>
        <v>0.44237167306827302</v>
      </c>
      <c r="BY22" s="54">
        <f t="shared" si="92"/>
        <v>4.0901694388807668</v>
      </c>
      <c r="BZ22" s="315">
        <f t="shared" si="93"/>
        <v>1.0726596069892587</v>
      </c>
      <c r="CA22" s="195">
        <f>27.972-BW22-BS22</f>
        <v>8.633381</v>
      </c>
      <c r="CB22" s="56">
        <f t="shared" si="94"/>
        <v>0.35304100963064661</v>
      </c>
      <c r="CC22" s="54">
        <f t="shared" si="95"/>
        <v>0.56178596173223405</v>
      </c>
      <c r="CD22" s="315">
        <f t="shared" si="96"/>
        <v>-0.33817690617605556</v>
      </c>
      <c r="CE22" s="195">
        <v>8.5910000000000011</v>
      </c>
      <c r="CF22" s="89">
        <f t="shared" si="97"/>
        <v>0.3391854235626835</v>
      </c>
      <c r="CG22" s="54">
        <f t="shared" si="98"/>
        <v>0.25629592020422454</v>
      </c>
      <c r="CH22" s="85">
        <f t="shared" si="99"/>
        <v>-4.9089690354218174E-3</v>
      </c>
      <c r="CI22" s="339">
        <f>BS22+BW22+CA22+CE22</f>
        <v>36.563000000000002</v>
      </c>
      <c r="CJ22" s="56">
        <f t="shared" si="100"/>
        <v>0.36347459564780848</v>
      </c>
      <c r="CK22" s="340">
        <f t="shared" si="101"/>
        <v>0.77844253125151996</v>
      </c>
      <c r="CL22" s="190">
        <v>8.6999999999999993</v>
      </c>
      <c r="CM22" s="56">
        <f t="shared" si="102"/>
        <v>0.24585994461086305</v>
      </c>
      <c r="CN22" s="54">
        <f t="shared" si="103"/>
        <v>0.3823189019239972</v>
      </c>
      <c r="CO22" s="315">
        <f t="shared" si="104"/>
        <v>1.268769642649259E-2</v>
      </c>
      <c r="CP22" s="195">
        <v>9.4</v>
      </c>
      <c r="CQ22" s="56">
        <f t="shared" si="105"/>
        <v>0.2874529830892022</v>
      </c>
      <c r="CR22" s="54">
        <f t="shared" si="106"/>
        <v>-0.27940894975617581</v>
      </c>
      <c r="CS22" s="315">
        <f t="shared" si="107"/>
        <v>8.0459770114942764E-2</v>
      </c>
      <c r="CT22" s="195">
        <v>11.5</v>
      </c>
      <c r="CU22" s="56">
        <f t="shared" si="108"/>
        <v>0.34572948922225899</v>
      </c>
      <c r="CV22" s="54">
        <f t="shared" si="109"/>
        <v>0.33203897754541356</v>
      </c>
      <c r="CW22" s="315">
        <f t="shared" si="110"/>
        <v>0.22340425531914887</v>
      </c>
      <c r="CX22" s="195">
        <v>14.7</v>
      </c>
      <c r="CY22" s="89">
        <f t="shared" si="111"/>
        <v>0.363330779307447</v>
      </c>
      <c r="CZ22" s="54">
        <f t="shared" si="112"/>
        <v>0.71109300430683242</v>
      </c>
      <c r="DA22" s="85">
        <f t="shared" si="113"/>
        <v>0.27826086956521734</v>
      </c>
      <c r="DB22" s="339">
        <f>CL22+CP22+CT22+CX22</f>
        <v>44.3</v>
      </c>
      <c r="DC22" s="56">
        <f t="shared" si="114"/>
        <v>0.31241405087482982</v>
      </c>
      <c r="DD22" s="340">
        <f t="shared" si="115"/>
        <v>0.21160736263435709</v>
      </c>
      <c r="DE22" s="190">
        <v>12.4595</v>
      </c>
      <c r="DF22" s="56">
        <f t="shared" si="116"/>
        <v>0.31969732736677892</v>
      </c>
      <c r="DG22" s="54">
        <f t="shared" si="117"/>
        <v>0.43212643678160934</v>
      </c>
      <c r="DH22" s="315">
        <f t="shared" si="118"/>
        <v>-0.15241496598639448</v>
      </c>
      <c r="DI22" s="195">
        <v>16.306000000000001</v>
      </c>
      <c r="DJ22" s="56">
        <f t="shared" si="119"/>
        <v>0.35528924719468352</v>
      </c>
      <c r="DK22" s="54">
        <f t="shared" si="120"/>
        <v>0.73468085106382985</v>
      </c>
      <c r="DL22" s="315">
        <f t="shared" si="121"/>
        <v>0.30872025362173439</v>
      </c>
      <c r="DM22" s="195">
        <v>17.78</v>
      </c>
      <c r="DN22" s="56">
        <f t="shared" si="122"/>
        <v>0.36853559954399417</v>
      </c>
      <c r="DO22" s="54">
        <f t="shared" si="123"/>
        <v>0.54608695652173922</v>
      </c>
      <c r="DP22" s="315">
        <f t="shared" si="124"/>
        <v>9.0396173187783591E-2</v>
      </c>
      <c r="DQ22" s="195"/>
      <c r="DR22" s="89"/>
      <c r="DS22" s="54"/>
      <c r="DT22" s="85"/>
      <c r="DU22" s="339"/>
      <c r="DV22" s="56"/>
      <c r="DW22" s="340"/>
    </row>
    <row r="23" spans="1:127" s="6" customFormat="1" ht="16.95" customHeight="1" x14ac:dyDescent="0.4">
      <c r="A23" s="41" t="s">
        <v>41</v>
      </c>
      <c r="B23" s="216"/>
      <c r="C23" s="241"/>
      <c r="D23" s="242"/>
      <c r="E23" s="241"/>
      <c r="F23" s="242"/>
      <c r="G23" s="257">
        <v>1.55</v>
      </c>
      <c r="H23" s="42">
        <v>2.08</v>
      </c>
      <c r="I23" s="42">
        <v>1.89</v>
      </c>
      <c r="J23" s="296">
        <f>7.102-G23-H23-I23</f>
        <v>1.5820000000000005</v>
      </c>
      <c r="K23" s="339">
        <f t="shared" si="47"/>
        <v>7.1020000000000003</v>
      </c>
      <c r="L23" s="56">
        <f t="shared" si="48"/>
        <v>0.20367077717235443</v>
      </c>
      <c r="M23" s="242"/>
      <c r="N23" s="42">
        <v>2</v>
      </c>
      <c r="O23" s="55">
        <f t="shared" si="49"/>
        <v>0.20345879959308241</v>
      </c>
      <c r="P23" s="54">
        <f t="shared" si="50"/>
        <v>0.29032258064516125</v>
      </c>
      <c r="Q23" s="367">
        <f t="shared" si="51"/>
        <v>0.26422250316055584</v>
      </c>
      <c r="R23" s="42">
        <v>2.02</v>
      </c>
      <c r="S23" s="55">
        <f t="shared" si="52"/>
        <v>0.17626527050610818</v>
      </c>
      <c r="T23" s="54">
        <f t="shared" si="53"/>
        <v>-2.8846153846153855E-2</v>
      </c>
      <c r="U23" s="308">
        <f t="shared" si="54"/>
        <v>1.0000000000000009E-2</v>
      </c>
      <c r="V23" s="205">
        <v>2.61</v>
      </c>
      <c r="W23" s="55">
        <f t="shared" si="55"/>
        <v>0.22480620155038761</v>
      </c>
      <c r="X23" s="54">
        <f t="shared" si="56"/>
        <v>0.38095238095238093</v>
      </c>
      <c r="Y23" s="315">
        <f t="shared" si="57"/>
        <v>0.29207920792079212</v>
      </c>
      <c r="Z23" s="195">
        <f t="shared" si="58"/>
        <v>3.616000000000001</v>
      </c>
      <c r="AA23" s="55">
        <f t="shared" si="59"/>
        <v>0.24799396474864552</v>
      </c>
      <c r="AB23" s="54">
        <f t="shared" si="60"/>
        <v>1.2857142857142856</v>
      </c>
      <c r="AC23" s="85">
        <f t="shared" si="61"/>
        <v>0.38544061302682042</v>
      </c>
      <c r="AD23" s="339">
        <v>10.246</v>
      </c>
      <c r="AE23" s="56">
        <f t="shared" si="62"/>
        <v>0.21579157978981067</v>
      </c>
      <c r="AF23" s="340">
        <f t="shared" si="63"/>
        <v>0.44269219938045623</v>
      </c>
      <c r="AG23" s="195">
        <v>3.1680000000000001</v>
      </c>
      <c r="AH23" s="56">
        <f t="shared" si="64"/>
        <v>0.19567634342186535</v>
      </c>
      <c r="AI23" s="54">
        <f t="shared" si="65"/>
        <v>0.58400000000000007</v>
      </c>
      <c r="AJ23" s="315">
        <f t="shared" si="66"/>
        <v>-0.12389380530973471</v>
      </c>
      <c r="AK23" s="195">
        <f>8.627-AG23</f>
        <v>5.4590000000000005</v>
      </c>
      <c r="AL23" s="56">
        <f t="shared" si="67"/>
        <v>0.25318862761467464</v>
      </c>
      <c r="AM23" s="54">
        <f t="shared" si="68"/>
        <v>1.7024752475247529</v>
      </c>
      <c r="AN23" s="315">
        <f t="shared" ref="AN23:AN36" si="125">AK23/AG23-1</f>
        <v>0.72316919191919204</v>
      </c>
      <c r="AO23" s="195">
        <f>12.71155-AK23-AG23</f>
        <v>4.0845500000000001</v>
      </c>
      <c r="AP23" s="56">
        <f t="shared" si="69"/>
        <v>0.19393942098930167</v>
      </c>
      <c r="AQ23" s="54">
        <f t="shared" si="70"/>
        <v>0.56496168582375494</v>
      </c>
      <c r="AR23" s="315">
        <f t="shared" ref="AR23:AR36" si="126">AO23/AK23-1</f>
        <v>-0.25177688221285954</v>
      </c>
      <c r="AS23" s="195">
        <f t="shared" ref="AS23:AS34" si="127">AW23-AO23-AK23-AG23</f>
        <v>4.4214499999999983</v>
      </c>
      <c r="AT23" s="89">
        <f t="shared" si="71"/>
        <v>0.19809326523668722</v>
      </c>
      <c r="AU23" s="54">
        <f t="shared" si="72"/>
        <v>0.2227461283185832</v>
      </c>
      <c r="AV23" s="85">
        <f t="shared" ref="AV23:AV36" si="128">AS23/AO23-1</f>
        <v>8.2481546314771004E-2</v>
      </c>
      <c r="AW23" s="339">
        <v>17.132999999999999</v>
      </c>
      <c r="AX23" s="56">
        <f t="shared" si="73"/>
        <v>0.2111717796704177</v>
      </c>
      <c r="AY23" s="340">
        <f t="shared" ref="AY23:AY36" si="129">AW23/AD23-1</f>
        <v>0.67216474721842645</v>
      </c>
      <c r="AZ23" s="190">
        <v>3.5710000000000002</v>
      </c>
      <c r="BA23" s="56">
        <f t="shared" si="74"/>
        <v>0.16667444574095683</v>
      </c>
      <c r="BB23" s="54">
        <f t="shared" si="75"/>
        <v>0.12720959595959602</v>
      </c>
      <c r="BC23" s="315">
        <f t="shared" si="76"/>
        <v>-0.19234640219837351</v>
      </c>
      <c r="BD23" s="195">
        <f>6.818873-AZ23</f>
        <v>3.2478729999999998</v>
      </c>
      <c r="BE23" s="56">
        <f t="shared" si="77"/>
        <v>0.22254614946874277</v>
      </c>
      <c r="BF23" s="54">
        <f t="shared" si="78"/>
        <v>-0.40504249862612207</v>
      </c>
      <c r="BG23" s="315">
        <f t="shared" si="79"/>
        <v>-9.0486418370204547E-2</v>
      </c>
      <c r="BH23" s="195">
        <f>9.471975-AZ23-BD23</f>
        <v>2.653102000000001</v>
      </c>
      <c r="BI23" s="56">
        <f t="shared" si="80"/>
        <v>0.13560534341180155</v>
      </c>
      <c r="BJ23" s="54">
        <f t="shared" si="81"/>
        <v>-0.35045427280850994</v>
      </c>
      <c r="BK23" s="315">
        <f t="shared" si="82"/>
        <v>-0.18312631066547214</v>
      </c>
      <c r="BL23" s="195">
        <f>BP23-AZ23-BD23-BH23</f>
        <v>2.9050249999999997</v>
      </c>
      <c r="BM23" s="89">
        <f t="shared" si="83"/>
        <v>0.13914976251100075</v>
      </c>
      <c r="BN23" s="54">
        <f t="shared" si="84"/>
        <v>-0.34297006638093819</v>
      </c>
      <c r="BO23" s="85">
        <f t="shared" si="85"/>
        <v>9.49541329357102E-2</v>
      </c>
      <c r="BP23" s="339">
        <v>12.377000000000001</v>
      </c>
      <c r="BQ23" s="56">
        <f t="shared" si="86"/>
        <v>0.16187337335373592</v>
      </c>
      <c r="BR23" s="340">
        <f t="shared" si="87"/>
        <v>-0.27759294927916878</v>
      </c>
      <c r="BS23" s="190">
        <v>2.9136419999999998</v>
      </c>
      <c r="BT23" s="56">
        <f t="shared" si="88"/>
        <v>0.13665874192469918</v>
      </c>
      <c r="BU23" s="54">
        <f t="shared" si="89"/>
        <v>-0.18408232987958562</v>
      </c>
      <c r="BV23" s="315">
        <f t="shared" si="90"/>
        <v>2.9662395332226144E-3</v>
      </c>
      <c r="BW23" s="195">
        <f>6.657671-BS23</f>
        <v>3.7440289999999998</v>
      </c>
      <c r="BX23" s="56">
        <f t="shared" si="91"/>
        <v>0.12696602518574063</v>
      </c>
      <c r="BY23" s="54">
        <f t="shared" si="92"/>
        <v>0.15276336236053578</v>
      </c>
      <c r="BZ23" s="315">
        <f t="shared" si="93"/>
        <v>0.28499966708332725</v>
      </c>
      <c r="CA23" s="195">
        <v>2.089</v>
      </c>
      <c r="CB23" s="56">
        <f t="shared" si="94"/>
        <v>8.5424547939957796E-2</v>
      </c>
      <c r="CC23" s="54">
        <f t="shared" si="95"/>
        <v>-0.21261979373578577</v>
      </c>
      <c r="CD23" s="315">
        <f t="shared" si="96"/>
        <v>-0.44204492005804441</v>
      </c>
      <c r="CE23" s="195">
        <v>1.5803290000000003</v>
      </c>
      <c r="CF23" s="89">
        <f t="shared" si="97"/>
        <v>6.2393733119938552E-2</v>
      </c>
      <c r="CG23" s="54">
        <f t="shared" si="98"/>
        <v>-0.45600158346313702</v>
      </c>
      <c r="CH23" s="85">
        <f t="shared" si="99"/>
        <v>-0.24349976065102907</v>
      </c>
      <c r="CI23" s="339">
        <f>BS23+BW23+CA23+CE23</f>
        <v>10.327</v>
      </c>
      <c r="CJ23" s="56">
        <f t="shared" si="100"/>
        <v>0.102661218971499</v>
      </c>
      <c r="CK23" s="340">
        <f t="shared" si="101"/>
        <v>-0.16562979720449222</v>
      </c>
      <c r="CL23" s="190">
        <v>11.8</v>
      </c>
      <c r="CM23" s="56">
        <f t="shared" si="102"/>
        <v>0.33346521223082581</v>
      </c>
      <c r="CN23" s="54">
        <f t="shared" si="103"/>
        <v>3.0499141624125414</v>
      </c>
      <c r="CO23" s="315">
        <f t="shared" si="104"/>
        <v>6.4667996347595968</v>
      </c>
      <c r="CP23" s="195">
        <v>7.8</v>
      </c>
      <c r="CQ23" s="56">
        <f t="shared" si="105"/>
        <v>0.23852481575486986</v>
      </c>
      <c r="CR23" s="54">
        <f t="shared" si="106"/>
        <v>1.0833171965281254</v>
      </c>
      <c r="CS23" s="315">
        <f t="shared" si="107"/>
        <v>-0.33898305084745772</v>
      </c>
      <c r="CT23" s="195">
        <v>4</v>
      </c>
      <c r="CU23" s="56">
        <f t="shared" si="108"/>
        <v>0.12025373538165531</v>
      </c>
      <c r="CV23" s="54">
        <f t="shared" si="109"/>
        <v>0.9147917663954046</v>
      </c>
      <c r="CW23" s="315">
        <f t="shared" si="110"/>
        <v>-0.48717948717948711</v>
      </c>
      <c r="CX23" s="195">
        <v>6.3420000000000023</v>
      </c>
      <c r="CY23" s="89">
        <f t="shared" si="111"/>
        <v>0.1567512790726415</v>
      </c>
      <c r="CZ23" s="54">
        <f t="shared" si="112"/>
        <v>3.0130884138682523</v>
      </c>
      <c r="DA23" s="85">
        <f t="shared" si="113"/>
        <v>0.58550000000000058</v>
      </c>
      <c r="DB23" s="339">
        <f>CL23+CP23+CT23+CX23</f>
        <v>29.942000000000004</v>
      </c>
      <c r="DC23" s="56">
        <f t="shared" si="114"/>
        <v>0.21115804765901031</v>
      </c>
      <c r="DD23" s="340">
        <f t="shared" si="115"/>
        <v>1.8993899486782224</v>
      </c>
      <c r="DE23" s="190">
        <v>5.8920000000000003</v>
      </c>
      <c r="DF23" s="56">
        <f t="shared" si="116"/>
        <v>0.15118236308399705</v>
      </c>
      <c r="DG23" s="54">
        <f t="shared" si="117"/>
        <v>-0.5006779661016949</v>
      </c>
      <c r="DH23" s="315">
        <f t="shared" si="118"/>
        <v>-7.0955534531693787E-2</v>
      </c>
      <c r="DI23" s="195">
        <v>5.6509999999999998</v>
      </c>
      <c r="DJ23" s="56">
        <f t="shared" si="119"/>
        <v>0.12312888114173656</v>
      </c>
      <c r="DK23" s="54">
        <f t="shared" si="120"/>
        <v>-0.27551282051282056</v>
      </c>
      <c r="DL23" s="315">
        <f t="shared" si="121"/>
        <v>-4.0902919212491562E-2</v>
      </c>
      <c r="DM23" s="195">
        <v>8.0449999999999999</v>
      </c>
      <c r="DN23" s="56">
        <f t="shared" si="122"/>
        <v>0.16675303140221784</v>
      </c>
      <c r="DO23" s="54">
        <f t="shared" si="123"/>
        <v>1.01125</v>
      </c>
      <c r="DP23" s="315">
        <f t="shared" si="124"/>
        <v>0.42364183330384009</v>
      </c>
      <c r="DQ23" s="195"/>
      <c r="DR23" s="89"/>
      <c r="DS23" s="54"/>
      <c r="DT23" s="85"/>
      <c r="DU23" s="339"/>
      <c r="DV23" s="56"/>
      <c r="DW23" s="340"/>
    </row>
    <row r="24" spans="1:127" s="10" customFormat="1" ht="16.95" customHeight="1" x14ac:dyDescent="0.4">
      <c r="A24" s="43" t="s">
        <v>42</v>
      </c>
      <c r="B24" s="217"/>
      <c r="C24" s="171"/>
      <c r="D24" s="243"/>
      <c r="E24" s="171"/>
      <c r="F24" s="243"/>
      <c r="G24" s="258">
        <v>0.62</v>
      </c>
      <c r="H24" s="44">
        <v>1.01</v>
      </c>
      <c r="I24" s="44">
        <v>1.1499999999999999</v>
      </c>
      <c r="J24" s="265">
        <f>3.004+0.874-G24-H24-I24</f>
        <v>1.0980000000000003</v>
      </c>
      <c r="K24" s="341">
        <f t="shared" si="47"/>
        <v>3.8780000000000001</v>
      </c>
      <c r="L24" s="36">
        <f t="shared" si="48"/>
        <v>0.11121307714367649</v>
      </c>
      <c r="M24" s="243"/>
      <c r="N24" s="51">
        <v>1</v>
      </c>
      <c r="O24" s="45">
        <f t="shared" si="49"/>
        <v>0.10172939979654121</v>
      </c>
      <c r="P24" s="46">
        <f t="shared" si="50"/>
        <v>0.61290322580645173</v>
      </c>
      <c r="Q24" s="368">
        <f t="shared" si="51"/>
        <v>-8.9253187613843599E-2</v>
      </c>
      <c r="R24" s="51">
        <v>1.17</v>
      </c>
      <c r="S24" s="45">
        <f t="shared" si="52"/>
        <v>0.10209424083769632</v>
      </c>
      <c r="T24" s="46">
        <f t="shared" si="53"/>
        <v>0.15841584158415833</v>
      </c>
      <c r="U24" s="309">
        <f t="shared" si="54"/>
        <v>0.16999999999999993</v>
      </c>
      <c r="V24" s="53">
        <v>1.46</v>
      </c>
      <c r="W24" s="45">
        <f t="shared" si="55"/>
        <v>0.12575366063738158</v>
      </c>
      <c r="X24" s="46">
        <f t="shared" si="56"/>
        <v>0.26956521739130435</v>
      </c>
      <c r="Y24" s="302">
        <f t="shared" si="57"/>
        <v>0.24786324786324787</v>
      </c>
      <c r="Z24" s="53">
        <f t="shared" si="58"/>
        <v>1.7380000000000004</v>
      </c>
      <c r="AA24" s="45">
        <f t="shared" si="59"/>
        <v>0.11919621425142309</v>
      </c>
      <c r="AB24" s="46">
        <f t="shared" si="60"/>
        <v>0.58287795992714031</v>
      </c>
      <c r="AC24" s="52">
        <f t="shared" si="61"/>
        <v>0.19041095890410986</v>
      </c>
      <c r="AD24" s="341">
        <f>AD26+AD25</f>
        <v>5.3680000000000003</v>
      </c>
      <c r="AE24" s="36">
        <f t="shared" si="62"/>
        <v>0.11305574861523557</v>
      </c>
      <c r="AF24" s="325">
        <f t="shared" si="63"/>
        <v>0.38421866941722538</v>
      </c>
      <c r="AG24" s="53">
        <f>AG26+AG25</f>
        <v>2.0009999999999999</v>
      </c>
      <c r="AH24" s="36">
        <f t="shared" si="64"/>
        <v>0.12359481161210623</v>
      </c>
      <c r="AI24" s="46">
        <f t="shared" si="65"/>
        <v>1.0009999999999999</v>
      </c>
      <c r="AJ24" s="302">
        <f t="shared" si="66"/>
        <v>0.15132336018411929</v>
      </c>
      <c r="AK24" s="53">
        <f>AK26+AK25</f>
        <v>1.9289999999999998</v>
      </c>
      <c r="AL24" s="36">
        <f t="shared" si="67"/>
        <v>8.9467093363016545E-2</v>
      </c>
      <c r="AM24" s="46">
        <f t="shared" si="68"/>
        <v>0.64871794871794863</v>
      </c>
      <c r="AN24" s="302">
        <f t="shared" si="125"/>
        <v>-3.5982008995502301E-2</v>
      </c>
      <c r="AO24" s="53">
        <f>5.060705-AG24-AK24</f>
        <v>1.1307049999999998</v>
      </c>
      <c r="AP24" s="36">
        <f t="shared" si="69"/>
        <v>5.3687253922637332E-2</v>
      </c>
      <c r="AQ24" s="46">
        <f t="shared" si="70"/>
        <v>-0.22554452054794527</v>
      </c>
      <c r="AR24" s="302">
        <f t="shared" si="126"/>
        <v>-0.41383877656817003</v>
      </c>
      <c r="AS24" s="53">
        <f t="shared" si="127"/>
        <v>1.5242950000000004</v>
      </c>
      <c r="AT24" s="36">
        <f t="shared" si="71"/>
        <v>6.8292658230661066E-2</v>
      </c>
      <c r="AU24" s="46">
        <f t="shared" si="72"/>
        <v>-0.12296029919447637</v>
      </c>
      <c r="AV24" s="52">
        <f t="shared" si="128"/>
        <v>0.3480925617203432</v>
      </c>
      <c r="AW24" s="341">
        <v>6.585</v>
      </c>
      <c r="AX24" s="36">
        <f t="shared" si="73"/>
        <v>8.1163028607348434E-2</v>
      </c>
      <c r="AY24" s="325">
        <f t="shared" si="129"/>
        <v>0.22671385991058113</v>
      </c>
      <c r="AZ24" s="204">
        <f>AZ26+AZ25</f>
        <v>1.415</v>
      </c>
      <c r="BA24" s="36">
        <f t="shared" si="74"/>
        <v>6.6044340723453915E-2</v>
      </c>
      <c r="BB24" s="46">
        <f t="shared" si="75"/>
        <v>-0.29285357321339323</v>
      </c>
      <c r="BC24" s="302">
        <f t="shared" si="76"/>
        <v>-7.1701999940956496E-2</v>
      </c>
      <c r="BD24" s="53">
        <f>BD26+BD25</f>
        <v>0.74102899999999994</v>
      </c>
      <c r="BE24" s="36">
        <f t="shared" si="77"/>
        <v>5.0775738643313022E-2</v>
      </c>
      <c r="BF24" s="46">
        <f t="shared" si="78"/>
        <v>-0.61584810782789012</v>
      </c>
      <c r="BG24" s="302">
        <f t="shared" si="79"/>
        <v>-0.476304593639576</v>
      </c>
      <c r="BH24" s="53">
        <f>BH26+BH25</f>
        <v>1.1777700000000002</v>
      </c>
      <c r="BI24" s="36">
        <f t="shared" si="80"/>
        <v>6.0198177571053606E-2</v>
      </c>
      <c r="BJ24" s="46">
        <f t="shared" si="81"/>
        <v>4.1624473226880898E-2</v>
      </c>
      <c r="BK24" s="302">
        <f t="shared" si="82"/>
        <v>0.58937099627679923</v>
      </c>
      <c r="BL24" s="53">
        <f>BL26+BL25</f>
        <v>1.0562009999999999</v>
      </c>
      <c r="BM24" s="36">
        <f t="shared" si="83"/>
        <v>5.0591687959271089E-2</v>
      </c>
      <c r="BN24" s="46">
        <f t="shared" si="84"/>
        <v>-0.30708885091140514</v>
      </c>
      <c r="BO24" s="52">
        <f t="shared" si="85"/>
        <v>-0.10321964390330896</v>
      </c>
      <c r="BP24" s="341">
        <f>BP26+BP25</f>
        <v>4.3899999999999997</v>
      </c>
      <c r="BQ24" s="36">
        <f t="shared" si="86"/>
        <v>5.7414891251749256E-2</v>
      </c>
      <c r="BR24" s="325">
        <f t="shared" si="87"/>
        <v>-0.33333333333333337</v>
      </c>
      <c r="BS24" s="204">
        <f>BS26+BS25</f>
        <v>1.788149</v>
      </c>
      <c r="BT24" s="36">
        <f t="shared" si="88"/>
        <v>8.3869669888719661E-2</v>
      </c>
      <c r="BU24" s="46">
        <f t="shared" si="89"/>
        <v>0.26370954063604235</v>
      </c>
      <c r="BV24" s="302">
        <f t="shared" si="90"/>
        <v>0.69300066938016536</v>
      </c>
      <c r="BW24" s="53">
        <f>3.281-BS24</f>
        <v>1.4928510000000002</v>
      </c>
      <c r="BX24" s="36">
        <f t="shared" si="91"/>
        <v>5.0624970496905369E-2</v>
      </c>
      <c r="BY24" s="46">
        <f t="shared" si="92"/>
        <v>1.0145648820761406</v>
      </c>
      <c r="BZ24" s="302">
        <f t="shared" si="93"/>
        <v>-0.16514171917440879</v>
      </c>
      <c r="CA24" s="53">
        <f>CA25+CA26</f>
        <v>1.9449350000000001</v>
      </c>
      <c r="CB24" s="36">
        <f t="shared" si="94"/>
        <v>7.9533361966300536E-2</v>
      </c>
      <c r="CC24" s="46">
        <f t="shared" si="95"/>
        <v>0.65137081093931726</v>
      </c>
      <c r="CD24" s="302">
        <f t="shared" si="96"/>
        <v>0.30283263366538238</v>
      </c>
      <c r="CE24" s="53">
        <v>2.0170000000000003</v>
      </c>
      <c r="CF24" s="36">
        <f t="shared" si="97"/>
        <v>7.9634151941093315E-2</v>
      </c>
      <c r="CG24" s="46">
        <f t="shared" si="98"/>
        <v>0.90967438962848979</v>
      </c>
      <c r="CH24" s="52">
        <f t="shared" si="99"/>
        <v>3.7052652145187492E-2</v>
      </c>
      <c r="CI24" s="341">
        <f>CI26+CI25</f>
        <v>7.2430000000000003</v>
      </c>
      <c r="CJ24" s="36">
        <f t="shared" si="100"/>
        <v>7.2003022079071111E-2</v>
      </c>
      <c r="CK24" s="325">
        <f t="shared" si="101"/>
        <v>0.64988610478359932</v>
      </c>
      <c r="CL24" s="204">
        <f>CL26+CL25</f>
        <v>2</v>
      </c>
      <c r="CM24" s="36">
        <f t="shared" si="102"/>
        <v>5.6519527496750134E-2</v>
      </c>
      <c r="CN24" s="46">
        <f t="shared" si="103"/>
        <v>0.11847502640999164</v>
      </c>
      <c r="CO24" s="302">
        <f t="shared" si="104"/>
        <v>-8.4283589489342337E-3</v>
      </c>
      <c r="CP24" s="53">
        <v>2.2999999999999998</v>
      </c>
      <c r="CQ24" s="36">
        <f t="shared" si="105"/>
        <v>7.0334240543102652E-2</v>
      </c>
      <c r="CR24" s="46">
        <f t="shared" si="106"/>
        <v>0.54067619608386885</v>
      </c>
      <c r="CS24" s="302">
        <f t="shared" si="107"/>
        <v>0.14999999999999991</v>
      </c>
      <c r="CT24" s="53">
        <f>CT25+CT26</f>
        <v>1.5</v>
      </c>
      <c r="CU24" s="36">
        <f t="shared" si="108"/>
        <v>4.5095150768120734E-2</v>
      </c>
      <c r="CV24" s="46">
        <f t="shared" si="109"/>
        <v>-0.22876599989202728</v>
      </c>
      <c r="CW24" s="302">
        <f t="shared" si="110"/>
        <v>-0.34782608695652173</v>
      </c>
      <c r="CX24" s="53">
        <f>CX25+CX26</f>
        <v>2.0430000000000001</v>
      </c>
      <c r="CY24" s="36">
        <f t="shared" si="111"/>
        <v>5.049556340987172E-2</v>
      </c>
      <c r="CZ24" s="46">
        <f t="shared" si="112"/>
        <v>1.2890431333663743E-2</v>
      </c>
      <c r="DA24" s="52">
        <f t="shared" si="113"/>
        <v>0.3620000000000001</v>
      </c>
      <c r="DB24" s="341">
        <f>DB26+DB25</f>
        <v>7.8430000000000009</v>
      </c>
      <c r="DC24" s="36">
        <f t="shared" si="114"/>
        <v>5.5310686253076544E-2</v>
      </c>
      <c r="DD24" s="325">
        <f t="shared" si="115"/>
        <v>8.2838602788899651E-2</v>
      </c>
      <c r="DE24" s="204">
        <f>DE26+DE25</f>
        <v>1.1678999999999999</v>
      </c>
      <c r="DF24" s="36">
        <f t="shared" si="116"/>
        <v>2.9967053945315705E-2</v>
      </c>
      <c r="DG24" s="46">
        <f t="shared" si="117"/>
        <v>-0.41605000000000003</v>
      </c>
      <c r="DH24" s="302">
        <f t="shared" si="118"/>
        <v>-0.42834067547723942</v>
      </c>
      <c r="DI24" s="53">
        <f>DI25+DI26</f>
        <v>1.532</v>
      </c>
      <c r="DJ24" s="36">
        <f t="shared" si="119"/>
        <v>3.3380542542760648E-2</v>
      </c>
      <c r="DK24" s="46">
        <f t="shared" si="120"/>
        <v>-0.33391304347826078</v>
      </c>
      <c r="DL24" s="302">
        <f t="shared" si="121"/>
        <v>0.31175614350543723</v>
      </c>
      <c r="DM24" s="53">
        <f>DM25+DM26</f>
        <v>0.88100000000000001</v>
      </c>
      <c r="DN24" s="36">
        <f t="shared" si="122"/>
        <v>1.8260959684941444E-2</v>
      </c>
      <c r="DO24" s="46">
        <f t="shared" si="123"/>
        <v>-0.41266666666666663</v>
      </c>
      <c r="DP24" s="302">
        <f t="shared" si="124"/>
        <v>-0.42493472584856395</v>
      </c>
      <c r="DQ24" s="53"/>
      <c r="DR24" s="36"/>
      <c r="DS24" s="46"/>
      <c r="DT24" s="52"/>
      <c r="DU24" s="341"/>
      <c r="DV24" s="36"/>
      <c r="DW24" s="325"/>
    </row>
    <row r="25" spans="1:127" s="6" customFormat="1" ht="16.95" customHeight="1" x14ac:dyDescent="0.4">
      <c r="A25" s="41" t="s">
        <v>40</v>
      </c>
      <c r="B25" s="216"/>
      <c r="C25" s="241"/>
      <c r="D25" s="242"/>
      <c r="E25" s="241"/>
      <c r="F25" s="242"/>
      <c r="G25" s="257">
        <v>0.56999999999999995</v>
      </c>
      <c r="H25" s="42">
        <v>0.91</v>
      </c>
      <c r="I25" s="42">
        <v>0.69</v>
      </c>
      <c r="J25" s="296">
        <f>3.004-G25-H25-I25</f>
        <v>0.83400000000000007</v>
      </c>
      <c r="K25" s="339">
        <f t="shared" si="47"/>
        <v>3.004</v>
      </c>
      <c r="L25" s="56">
        <f t="shared" si="48"/>
        <v>8.6148551763693709E-2</v>
      </c>
      <c r="M25" s="242"/>
      <c r="N25" s="42">
        <v>0.63</v>
      </c>
      <c r="O25" s="55">
        <f t="shared" si="49"/>
        <v>6.4089521871820959E-2</v>
      </c>
      <c r="P25" s="54">
        <f t="shared" si="50"/>
        <v>0.10526315789473695</v>
      </c>
      <c r="Q25" s="367">
        <f t="shared" si="51"/>
        <v>-0.24460431654676262</v>
      </c>
      <c r="R25" s="42">
        <v>0.76</v>
      </c>
      <c r="S25" s="55">
        <f t="shared" si="52"/>
        <v>6.6317626527050602E-2</v>
      </c>
      <c r="T25" s="54">
        <f t="shared" si="53"/>
        <v>-0.1648351648351648</v>
      </c>
      <c r="U25" s="308">
        <f>R25/N25-1</f>
        <v>0.20634920634920628</v>
      </c>
      <c r="V25" s="205">
        <v>1.1100000000000001</v>
      </c>
      <c r="W25" s="55">
        <f t="shared" si="55"/>
        <v>9.5607235142118871E-2</v>
      </c>
      <c r="X25" s="54">
        <f t="shared" si="56"/>
        <v>0.6086956521739133</v>
      </c>
      <c r="Y25" s="315">
        <f>V25/R25-1</f>
        <v>0.46052631578947389</v>
      </c>
      <c r="Z25" s="195">
        <f t="shared" si="58"/>
        <v>1.4360000000000002</v>
      </c>
      <c r="AA25" s="55">
        <f t="shared" si="59"/>
        <v>9.8484328921198808E-2</v>
      </c>
      <c r="AB25" s="54">
        <f t="shared" si="60"/>
        <v>0.72182254196642681</v>
      </c>
      <c r="AC25" s="85">
        <f>Z25/V25-1</f>
        <v>0.2936936936936938</v>
      </c>
      <c r="AD25" s="339">
        <v>3.9359999999999999</v>
      </c>
      <c r="AE25" s="56">
        <f t="shared" si="62"/>
        <v>8.2896316421305363E-2</v>
      </c>
      <c r="AF25" s="340">
        <f t="shared" si="63"/>
        <v>0.31025299600532619</v>
      </c>
      <c r="AG25" s="195">
        <v>1.7</v>
      </c>
      <c r="AH25" s="56">
        <f t="shared" si="64"/>
        <v>0.10500308832612723</v>
      </c>
      <c r="AI25" s="54">
        <f t="shared" si="65"/>
        <v>1.6984126984126982</v>
      </c>
      <c r="AJ25" s="315">
        <f t="shared" si="66"/>
        <v>0.18384401114206117</v>
      </c>
      <c r="AK25" s="195">
        <f>3.256-AG25</f>
        <v>1.5559999999999998</v>
      </c>
      <c r="AL25" s="56">
        <f t="shared" si="67"/>
        <v>7.2167339177218112E-2</v>
      </c>
      <c r="AM25" s="54">
        <f t="shared" si="68"/>
        <v>1.0473684210526315</v>
      </c>
      <c r="AN25" s="315">
        <f>AK25/AG25-1</f>
        <v>-8.4705882352941297E-2</v>
      </c>
      <c r="AO25" s="195">
        <f>4.131796-AG25-AK25</f>
        <v>0.87579599999999957</v>
      </c>
      <c r="AP25" s="56">
        <f t="shared" si="69"/>
        <v>4.1583863374116209E-2</v>
      </c>
      <c r="AQ25" s="54">
        <f t="shared" si="70"/>
        <v>-0.21099459459459502</v>
      </c>
      <c r="AR25" s="315">
        <f>AO25/AK25-1</f>
        <v>-0.43714910025706966</v>
      </c>
      <c r="AS25" s="195">
        <f>AW25-AO25-AK25-AG25</f>
        <v>1.2802040000000006</v>
      </c>
      <c r="AT25" s="89">
        <f t="shared" si="71"/>
        <v>5.735670210656417E-2</v>
      </c>
      <c r="AU25" s="54">
        <f t="shared" si="72"/>
        <v>-0.10849303621169892</v>
      </c>
      <c r="AV25" s="85">
        <f>AS25/AO25-1</f>
        <v>0.46176050130395807</v>
      </c>
      <c r="AW25" s="339">
        <v>5.4119999999999999</v>
      </c>
      <c r="AX25" s="56">
        <f t="shared" si="73"/>
        <v>6.6705286381620307E-2</v>
      </c>
      <c r="AY25" s="340">
        <f>AW25/AD25-1</f>
        <v>0.375</v>
      </c>
      <c r="AZ25" s="190">
        <v>1.292</v>
      </c>
      <c r="BA25" s="56">
        <f t="shared" si="74"/>
        <v>6.0303383897316216E-2</v>
      </c>
      <c r="BB25" s="54">
        <f>AZ25/AG25-1</f>
        <v>-0.24</v>
      </c>
      <c r="BC25" s="315">
        <f>AZ25/AS25-1</f>
        <v>9.214156493808412E-3</v>
      </c>
      <c r="BD25" s="195">
        <f>1.694756-AZ25</f>
        <v>0.40275599999999989</v>
      </c>
      <c r="BE25" s="56">
        <f t="shared" si="77"/>
        <v>2.7597075678585013E-2</v>
      </c>
      <c r="BF25" s="54">
        <f>BD25/AK25-1</f>
        <v>-0.74115938303341911</v>
      </c>
      <c r="BG25" s="315">
        <f>BD25/AZ25-1</f>
        <v>-0.68826934984520127</v>
      </c>
      <c r="BH25" s="195">
        <f>2.584308-AZ25-BD25</f>
        <v>0.88955200000000012</v>
      </c>
      <c r="BI25" s="56">
        <f t="shared" si="80"/>
        <v>4.5466779808184858E-2</v>
      </c>
      <c r="BJ25" s="54">
        <f t="shared" si="81"/>
        <v>1.5706854107578216E-2</v>
      </c>
      <c r="BK25" s="315">
        <f t="shared" si="82"/>
        <v>1.2086623166383625</v>
      </c>
      <c r="BL25" s="195">
        <f>BP25-AZ25-BD25-BH25</f>
        <v>0.973692</v>
      </c>
      <c r="BM25" s="89">
        <f t="shared" si="83"/>
        <v>4.6639533414983121E-2</v>
      </c>
      <c r="BN25" s="54">
        <f t="shared" si="84"/>
        <v>-0.23942434174553462</v>
      </c>
      <c r="BO25" s="85">
        <f t="shared" si="85"/>
        <v>9.4586938144144428E-2</v>
      </c>
      <c r="BP25" s="339">
        <v>3.5579999999999998</v>
      </c>
      <c r="BQ25" s="56">
        <f t="shared" si="86"/>
        <v>4.6533526896064659E-2</v>
      </c>
      <c r="BR25" s="340">
        <f t="shared" si="87"/>
        <v>-0.34257206208425728</v>
      </c>
      <c r="BS25" s="190">
        <v>1.6153310000000001</v>
      </c>
      <c r="BT25" s="56">
        <f t="shared" si="88"/>
        <v>7.5763975894075616E-2</v>
      </c>
      <c r="BU25" s="54">
        <f t="shared" si="89"/>
        <v>0.25025619195046445</v>
      </c>
      <c r="BV25" s="315">
        <f t="shared" si="90"/>
        <v>0.65897532279201232</v>
      </c>
      <c r="BW25" s="195">
        <f>2.764611-BS25</f>
        <v>1.1492799999999999</v>
      </c>
      <c r="BX25" s="56">
        <f t="shared" si="91"/>
        <v>3.8973927131832571E-2</v>
      </c>
      <c r="BY25" s="54">
        <f t="shared" si="92"/>
        <v>1.8535391154942449</v>
      </c>
      <c r="BZ25" s="315">
        <f t="shared" si="93"/>
        <v>-0.28851733793259726</v>
      </c>
      <c r="CA25" s="195">
        <f>4.567-BW25-BS25</f>
        <v>1.802389</v>
      </c>
      <c r="CB25" s="56">
        <f t="shared" si="94"/>
        <v>7.3704291784084539E-2</v>
      </c>
      <c r="CC25" s="54">
        <f t="shared" si="95"/>
        <v>1.0261760976311667</v>
      </c>
      <c r="CD25" s="315">
        <f t="shared" si="96"/>
        <v>0.56827666016984568</v>
      </c>
      <c r="CE25" s="195">
        <v>1.8540000000000003</v>
      </c>
      <c r="CF25" s="89">
        <f t="shared" si="97"/>
        <v>7.3198670153092213E-2</v>
      </c>
      <c r="CG25" s="54">
        <f t="shared" si="98"/>
        <v>0.90409287536510541</v>
      </c>
      <c r="CH25" s="85">
        <f t="shared" si="99"/>
        <v>2.8634773070630226E-2</v>
      </c>
      <c r="CI25" s="339">
        <f>BS25+BW25+CA25+CE25</f>
        <v>6.4210000000000003</v>
      </c>
      <c r="CJ25" s="56">
        <f t="shared" si="100"/>
        <v>6.3831479327587412E-2</v>
      </c>
      <c r="CK25" s="340">
        <f t="shared" si="101"/>
        <v>0.804665542439573</v>
      </c>
      <c r="CL25" s="190">
        <v>1.9</v>
      </c>
      <c r="CM25" s="56">
        <f t="shared" si="102"/>
        <v>5.3693551121912625E-2</v>
      </c>
      <c r="CN25" s="54">
        <f t="shared" si="103"/>
        <v>0.176229515808215</v>
      </c>
      <c r="CO25" s="315">
        <f t="shared" si="104"/>
        <v>2.4811218985975936E-2</v>
      </c>
      <c r="CP25" s="195">
        <v>2.1</v>
      </c>
      <c r="CQ25" s="56">
        <f t="shared" si="105"/>
        <v>6.4218219626311121E-2</v>
      </c>
      <c r="CR25" s="54">
        <f t="shared" si="106"/>
        <v>0.82723096199359625</v>
      </c>
      <c r="CS25" s="315">
        <f t="shared" si="107"/>
        <v>0.10526315789473695</v>
      </c>
      <c r="CT25" s="195">
        <v>1.4</v>
      </c>
      <c r="CU25" s="56">
        <f t="shared" si="108"/>
        <v>4.2088807383579355E-2</v>
      </c>
      <c r="CV25" s="54">
        <f t="shared" si="109"/>
        <v>-0.22325313791861812</v>
      </c>
      <c r="CW25" s="315">
        <f t="shared" si="110"/>
        <v>-0.33333333333333337</v>
      </c>
      <c r="CX25" s="195">
        <v>1.9690000000000001</v>
      </c>
      <c r="CY25" s="89">
        <f t="shared" si="111"/>
        <v>4.8666551323562124E-2</v>
      </c>
      <c r="CZ25" s="54">
        <f t="shared" si="112"/>
        <v>6.2028047464940617E-2</v>
      </c>
      <c r="DA25" s="85">
        <f t="shared" si="113"/>
        <v>0.40642857142857158</v>
      </c>
      <c r="DB25" s="339">
        <f>CL25+CP25+CT25+CX25</f>
        <v>7.3690000000000007</v>
      </c>
      <c r="DC25" s="56">
        <f t="shared" si="114"/>
        <v>5.1967926431074972E-2</v>
      </c>
      <c r="DD25" s="340">
        <f t="shared" si="115"/>
        <v>0.14764055443077417</v>
      </c>
      <c r="DE25" s="190">
        <v>1.0419</v>
      </c>
      <c r="DF25" s="56">
        <f t="shared" si="116"/>
        <v>2.6734029887511293E-2</v>
      </c>
      <c r="DG25" s="54">
        <f t="shared" si="117"/>
        <v>-0.45163157894736838</v>
      </c>
      <c r="DH25" s="315">
        <f t="shared" si="118"/>
        <v>-0.47084814626714067</v>
      </c>
      <c r="DI25" s="195">
        <v>1.407</v>
      </c>
      <c r="DJ25" s="56">
        <f t="shared" si="119"/>
        <v>3.0656934306569343E-2</v>
      </c>
      <c r="DK25" s="54">
        <f t="shared" si="120"/>
        <v>-0.32999999999999996</v>
      </c>
      <c r="DL25" s="315">
        <f t="shared" si="121"/>
        <v>0.35041750647854886</v>
      </c>
      <c r="DM25" s="195">
        <v>0.81699999999999995</v>
      </c>
      <c r="DN25" s="56">
        <f t="shared" si="122"/>
        <v>1.693439734687532E-2</v>
      </c>
      <c r="DO25" s="54">
        <f t="shared" si="123"/>
        <v>-0.41642857142857148</v>
      </c>
      <c r="DP25" s="315">
        <f t="shared" si="124"/>
        <v>-0.41933191186922536</v>
      </c>
      <c r="DQ25" s="195"/>
      <c r="DR25" s="89"/>
      <c r="DS25" s="54"/>
      <c r="DT25" s="85"/>
      <c r="DU25" s="339"/>
      <c r="DV25" s="56"/>
      <c r="DW25" s="340"/>
    </row>
    <row r="26" spans="1:127" s="6" customFormat="1" ht="16.95" customHeight="1" x14ac:dyDescent="0.4">
      <c r="A26" s="41" t="s">
        <v>41</v>
      </c>
      <c r="B26" s="216"/>
      <c r="C26" s="241"/>
      <c r="D26" s="242"/>
      <c r="E26" s="241"/>
      <c r="F26" s="242"/>
      <c r="G26" s="257">
        <v>0.05</v>
      </c>
      <c r="H26" s="42">
        <v>0.1</v>
      </c>
      <c r="I26" s="42">
        <v>0.46</v>
      </c>
      <c r="J26" s="296">
        <f>0.87-G26-H26-I26</f>
        <v>0.25999999999999995</v>
      </c>
      <c r="K26" s="339">
        <f t="shared" si="47"/>
        <v>0.87000000000000011</v>
      </c>
      <c r="L26" s="56">
        <f t="shared" si="48"/>
        <v>2.4949813593346717E-2</v>
      </c>
      <c r="M26" s="242"/>
      <c r="N26" s="42">
        <v>0.37</v>
      </c>
      <c r="O26" s="55">
        <f t="shared" si="49"/>
        <v>3.763987792472024E-2</v>
      </c>
      <c r="P26" s="54">
        <f t="shared" si="50"/>
        <v>6.3999999999999995</v>
      </c>
      <c r="Q26" s="367">
        <f t="shared" si="51"/>
        <v>0.42307692307692335</v>
      </c>
      <c r="R26" s="42">
        <v>0.42</v>
      </c>
      <c r="S26" s="55">
        <f t="shared" si="52"/>
        <v>3.6649214659685861E-2</v>
      </c>
      <c r="T26" s="54">
        <f t="shared" si="53"/>
        <v>3.1999999999999993</v>
      </c>
      <c r="U26" s="308">
        <f t="shared" si="54"/>
        <v>0.13513513513513509</v>
      </c>
      <c r="V26" s="205">
        <v>0.35</v>
      </c>
      <c r="W26" s="55">
        <f t="shared" si="55"/>
        <v>3.0146425495262703E-2</v>
      </c>
      <c r="X26" s="54">
        <f t="shared" si="56"/>
        <v>-0.23913043478260876</v>
      </c>
      <c r="Y26" s="315">
        <f t="shared" si="57"/>
        <v>-0.16666666666666674</v>
      </c>
      <c r="Z26" s="195">
        <f t="shared" si="58"/>
        <v>0.29199999999999993</v>
      </c>
      <c r="AA26" s="55">
        <f t="shared" si="59"/>
        <v>2.0026061312667161E-2</v>
      </c>
      <c r="AB26" s="54">
        <f t="shared" si="60"/>
        <v>0.12307692307692308</v>
      </c>
      <c r="AC26" s="85">
        <f t="shared" si="61"/>
        <v>-0.16571428571428592</v>
      </c>
      <c r="AD26" s="339">
        <v>1.4319999999999999</v>
      </c>
      <c r="AE26" s="56">
        <f t="shared" si="62"/>
        <v>3.0159432193930202E-2</v>
      </c>
      <c r="AF26" s="340">
        <f t="shared" si="63"/>
        <v>0.64597701149425268</v>
      </c>
      <c r="AG26" s="195">
        <v>0.30099999999999999</v>
      </c>
      <c r="AH26" s="56">
        <f t="shared" si="64"/>
        <v>1.8591723285978998E-2</v>
      </c>
      <c r="AI26" s="54">
        <f t="shared" si="65"/>
        <v>-0.18648648648648647</v>
      </c>
      <c r="AJ26" s="315">
        <f t="shared" si="66"/>
        <v>3.0821917808219412E-2</v>
      </c>
      <c r="AK26" s="195">
        <f>0.674-AG26</f>
        <v>0.37300000000000005</v>
      </c>
      <c r="AL26" s="56">
        <f t="shared" si="67"/>
        <v>1.7299754185798436E-2</v>
      </c>
      <c r="AM26" s="54">
        <f t="shared" si="68"/>
        <v>-0.11190476190476173</v>
      </c>
      <c r="AN26" s="315">
        <f t="shared" si="125"/>
        <v>0.2392026578073092</v>
      </c>
      <c r="AO26" s="195">
        <v>0.2</v>
      </c>
      <c r="AP26" s="56">
        <f t="shared" si="69"/>
        <v>9.4962441879424507E-3</v>
      </c>
      <c r="AQ26" s="54">
        <f t="shared" si="70"/>
        <v>-0.42857142857142849</v>
      </c>
      <c r="AR26" s="315">
        <f t="shared" si="126"/>
        <v>-0.46380697050938346</v>
      </c>
      <c r="AS26" s="195">
        <f t="shared" si="127"/>
        <v>0.3</v>
      </c>
      <c r="AT26" s="89">
        <f t="shared" si="71"/>
        <v>1.3440834923160092E-2</v>
      </c>
      <c r="AU26" s="54">
        <f t="shared" si="72"/>
        <v>2.7397260273972934E-2</v>
      </c>
      <c r="AV26" s="85">
        <f t="shared" si="128"/>
        <v>0.49999999999999978</v>
      </c>
      <c r="AW26" s="339">
        <f>1.174</f>
        <v>1.1739999999999999</v>
      </c>
      <c r="AX26" s="56">
        <f t="shared" si="73"/>
        <v>1.4470067666670776E-2</v>
      </c>
      <c r="AY26" s="340">
        <f t="shared" si="129"/>
        <v>-0.18016759776536317</v>
      </c>
      <c r="AZ26" s="190">
        <v>0.123</v>
      </c>
      <c r="BA26" s="56">
        <f t="shared" si="74"/>
        <v>5.7409568261376897E-3</v>
      </c>
      <c r="BB26" s="54">
        <f t="shared" si="75"/>
        <v>-0.59136212624584716</v>
      </c>
      <c r="BC26" s="315">
        <f t="shared" si="76"/>
        <v>-0.59</v>
      </c>
      <c r="BD26" s="195">
        <f>0.461273-AZ26</f>
        <v>0.33827299999999999</v>
      </c>
      <c r="BE26" s="56">
        <f t="shared" si="77"/>
        <v>2.3178662964728002E-2</v>
      </c>
      <c r="BF26" s="54">
        <f t="shared" si="78"/>
        <v>-9.3101876675603323E-2</v>
      </c>
      <c r="BG26" s="315">
        <f t="shared" si="79"/>
        <v>1.7501869918699184</v>
      </c>
      <c r="BH26" s="195">
        <f>0.749491-AZ26-BD26</f>
        <v>0.28821800000000003</v>
      </c>
      <c r="BI26" s="56">
        <f t="shared" si="80"/>
        <v>1.4731397762868749E-2</v>
      </c>
      <c r="BJ26" s="54">
        <f t="shared" si="81"/>
        <v>0.44108999999999998</v>
      </c>
      <c r="BK26" s="315">
        <f t="shared" si="82"/>
        <v>-0.14797219996866429</v>
      </c>
      <c r="BL26" s="195">
        <f>BP26-AZ26-BD26-BH26</f>
        <v>8.2508999999999943E-2</v>
      </c>
      <c r="BM26" s="89">
        <f t="shared" si="83"/>
        <v>3.9521545442879674E-3</v>
      </c>
      <c r="BN26" s="54">
        <f t="shared" si="84"/>
        <v>-0.72497000000000011</v>
      </c>
      <c r="BO26" s="85">
        <f t="shared" si="85"/>
        <v>-0.71372710934084638</v>
      </c>
      <c r="BP26" s="339">
        <v>0.83199999999999996</v>
      </c>
      <c r="BQ26" s="56">
        <f t="shared" si="86"/>
        <v>1.0881364355684597E-2</v>
      </c>
      <c r="BR26" s="340">
        <f t="shared" si="87"/>
        <v>-0.29131175468483816</v>
      </c>
      <c r="BS26" s="190">
        <v>0.172818</v>
      </c>
      <c r="BT26" s="56">
        <f t="shared" si="88"/>
        <v>8.1056939946440448E-3</v>
      </c>
      <c r="BU26" s="54">
        <f t="shared" si="89"/>
        <v>0.40502439024390235</v>
      </c>
      <c r="BV26" s="315">
        <f t="shared" si="90"/>
        <v>1.0945351416209155</v>
      </c>
      <c r="BW26" s="195">
        <f>0.516454-BS26</f>
        <v>0.34363599999999994</v>
      </c>
      <c r="BX26" s="56">
        <f t="shared" si="91"/>
        <v>1.165324761926982E-2</v>
      </c>
      <c r="BY26" s="54">
        <f t="shared" si="92"/>
        <v>1.5854058704064311E-2</v>
      </c>
      <c r="BZ26" s="315">
        <f t="shared" si="93"/>
        <v>0.98842713143306793</v>
      </c>
      <c r="CA26" s="195">
        <f>0.659-BW26-BS26</f>
        <v>0.14254600000000009</v>
      </c>
      <c r="CB26" s="56">
        <f t="shared" si="94"/>
        <v>5.829070182216004E-3</v>
      </c>
      <c r="CC26" s="54">
        <f t="shared" si="95"/>
        <v>-0.50542297843993067</v>
      </c>
      <c r="CD26" s="315">
        <f t="shared" si="96"/>
        <v>-0.58518315892397732</v>
      </c>
      <c r="CE26" s="195">
        <v>0.16299999999999995</v>
      </c>
      <c r="CF26" s="89">
        <f t="shared" si="97"/>
        <v>6.435481788001093E-3</v>
      </c>
      <c r="CG26" s="54">
        <f t="shared" si="98"/>
        <v>0.97554206207807703</v>
      </c>
      <c r="CH26" s="85">
        <f t="shared" si="99"/>
        <v>0.14349052235769411</v>
      </c>
      <c r="CI26" s="339">
        <f>BS26+BW26+CA26+CE26</f>
        <v>0.82199999999999995</v>
      </c>
      <c r="CJ26" s="56">
        <f t="shared" si="100"/>
        <v>8.1715427514837003E-3</v>
      </c>
      <c r="CK26" s="340">
        <f t="shared" si="101"/>
        <v>-1.2019230769230727E-2</v>
      </c>
      <c r="CL26" s="190">
        <v>0.1</v>
      </c>
      <c r="CM26" s="56">
        <f t="shared" si="102"/>
        <v>2.825976374837507E-3</v>
      </c>
      <c r="CN26" s="54">
        <f t="shared" si="103"/>
        <v>-0.42135657165341567</v>
      </c>
      <c r="CO26" s="315">
        <f t="shared" si="104"/>
        <v>-0.38650306748466234</v>
      </c>
      <c r="CP26" s="195">
        <v>0.2</v>
      </c>
      <c r="CQ26" s="56">
        <f t="shared" si="105"/>
        <v>6.1160209167915357E-3</v>
      </c>
      <c r="CR26" s="54">
        <f t="shared" si="106"/>
        <v>-0.41798880210455236</v>
      </c>
      <c r="CS26" s="315">
        <f t="shared" si="107"/>
        <v>1</v>
      </c>
      <c r="CT26" s="195">
        <v>0.1</v>
      </c>
      <c r="CU26" s="56">
        <f t="shared" si="108"/>
        <v>3.0063433845413825E-3</v>
      </c>
      <c r="CV26" s="54">
        <f t="shared" si="109"/>
        <v>-0.2984720721731936</v>
      </c>
      <c r="CW26" s="315">
        <f t="shared" si="110"/>
        <v>-0.5</v>
      </c>
      <c r="CX26" s="195">
        <v>7.4000000000000066E-2</v>
      </c>
      <c r="CY26" s="89">
        <f t="shared" si="111"/>
        <v>1.8290120863095989E-3</v>
      </c>
      <c r="CZ26" s="54">
        <f t="shared" si="112"/>
        <v>-0.54601226993864982</v>
      </c>
      <c r="DA26" s="85">
        <f t="shared" si="113"/>
        <v>-0.25999999999999934</v>
      </c>
      <c r="DB26" s="339">
        <f>CL26+CP26+CT26+CX26</f>
        <v>0.47400000000000009</v>
      </c>
      <c r="DC26" s="56">
        <f t="shared" si="114"/>
        <v>3.342759822001566E-3</v>
      </c>
      <c r="DD26" s="340">
        <f t="shared" si="115"/>
        <v>-0.42335766423357646</v>
      </c>
      <c r="DE26" s="190">
        <v>0.126</v>
      </c>
      <c r="DF26" s="56">
        <f t="shared" si="116"/>
        <v>3.2330240578044176E-3</v>
      </c>
      <c r="DG26" s="54">
        <f t="shared" si="117"/>
        <v>0.26</v>
      </c>
      <c r="DH26" s="315">
        <f t="shared" si="118"/>
        <v>0.7027027027027013</v>
      </c>
      <c r="DI26" s="195">
        <v>0.125</v>
      </c>
      <c r="DJ26" s="56">
        <f t="shared" si="119"/>
        <v>2.7236082361913059E-3</v>
      </c>
      <c r="DK26" s="54">
        <f t="shared" si="120"/>
        <v>-0.375</v>
      </c>
      <c r="DL26" s="315">
        <f t="shared" si="121"/>
        <v>-7.9365079365079083E-3</v>
      </c>
      <c r="DM26" s="195">
        <v>6.4000000000000001E-2</v>
      </c>
      <c r="DN26" s="56">
        <f t="shared" si="122"/>
        <v>1.3265623380661208E-3</v>
      </c>
      <c r="DO26" s="54">
        <f t="shared" si="123"/>
        <v>-0.36</v>
      </c>
      <c r="DP26" s="315">
        <f t="shared" si="124"/>
        <v>-0.48799999999999999</v>
      </c>
      <c r="DQ26" s="195"/>
      <c r="DR26" s="89"/>
      <c r="DS26" s="54"/>
      <c r="DT26" s="85"/>
      <c r="DU26" s="339"/>
      <c r="DV26" s="56"/>
      <c r="DW26" s="340"/>
    </row>
    <row r="27" spans="1:127" s="10" customFormat="1" ht="16.95" customHeight="1" x14ac:dyDescent="0.4">
      <c r="A27" s="43" t="s">
        <v>43</v>
      </c>
      <c r="B27" s="217"/>
      <c r="C27" s="171"/>
      <c r="D27" s="243"/>
      <c r="E27" s="171"/>
      <c r="F27" s="243"/>
      <c r="G27" s="258">
        <v>1.92</v>
      </c>
      <c r="H27" s="44">
        <v>2.78</v>
      </c>
      <c r="I27" s="44">
        <v>2.73</v>
      </c>
      <c r="J27" s="265">
        <f>6.234+2.993-H27-G27-I27</f>
        <v>1.797000000000001</v>
      </c>
      <c r="K27" s="341">
        <f t="shared" si="47"/>
        <v>9.2270000000000003</v>
      </c>
      <c r="L27" s="36">
        <f t="shared" si="48"/>
        <v>0.26461141382277026</v>
      </c>
      <c r="M27" s="243"/>
      <c r="N27" s="51">
        <v>3.08</v>
      </c>
      <c r="O27" s="45">
        <f t="shared" si="49"/>
        <v>0.31332655137334692</v>
      </c>
      <c r="P27" s="46">
        <f t="shared" si="50"/>
        <v>0.60416666666666674</v>
      </c>
      <c r="Q27" s="368">
        <f t="shared" si="51"/>
        <v>0.71396772398441755</v>
      </c>
      <c r="R27" s="51">
        <v>3.62</v>
      </c>
      <c r="S27" s="45">
        <f t="shared" si="52"/>
        <v>0.31588132635253052</v>
      </c>
      <c r="T27" s="46">
        <f t="shared" si="53"/>
        <v>0.30215827338129508</v>
      </c>
      <c r="U27" s="309">
        <f t="shared" si="54"/>
        <v>0.17532467532467533</v>
      </c>
      <c r="V27" s="53">
        <v>4.2699999999999996</v>
      </c>
      <c r="W27" s="45">
        <f t="shared" si="55"/>
        <v>0.36778639104220495</v>
      </c>
      <c r="X27" s="46">
        <f t="shared" si="56"/>
        <v>0.56410256410256387</v>
      </c>
      <c r="Y27" s="302">
        <f t="shared" si="57"/>
        <v>0.17955801104972369</v>
      </c>
      <c r="Z27" s="53">
        <f t="shared" si="58"/>
        <v>4.6946000000000012</v>
      </c>
      <c r="AA27" s="45">
        <f t="shared" si="59"/>
        <v>0.32196694328235376</v>
      </c>
      <c r="AB27" s="46">
        <f t="shared" si="60"/>
        <v>1.6124652198107947</v>
      </c>
      <c r="AC27" s="52">
        <f t="shared" si="61"/>
        <v>9.9437939110070594E-2</v>
      </c>
      <c r="AD27" s="341">
        <f>AD29+AD28</f>
        <v>15.6646</v>
      </c>
      <c r="AE27" s="36">
        <f t="shared" si="62"/>
        <v>0.32991301783871441</v>
      </c>
      <c r="AF27" s="325">
        <f t="shared" si="63"/>
        <v>0.69769155738593258</v>
      </c>
      <c r="AG27" s="53">
        <f>AG29+AG28</f>
        <v>6.6509999999999998</v>
      </c>
      <c r="AH27" s="36">
        <f t="shared" si="64"/>
        <v>0.41080914144533659</v>
      </c>
      <c r="AI27" s="46">
        <f t="shared" si="65"/>
        <v>1.1594155844155845</v>
      </c>
      <c r="AJ27" s="302">
        <f t="shared" si="66"/>
        <v>0.41673412005282628</v>
      </c>
      <c r="AK27" s="53">
        <f>AK29+AK28</f>
        <v>8.3460000000000001</v>
      </c>
      <c r="AL27" s="36">
        <f t="shared" si="67"/>
        <v>0.38708779741199389</v>
      </c>
      <c r="AM27" s="46">
        <f t="shared" si="68"/>
        <v>1.3055248618784532</v>
      </c>
      <c r="AN27" s="302">
        <f t="shared" si="125"/>
        <v>0.25484889490302209</v>
      </c>
      <c r="AO27" s="53">
        <f>25.0316-AG27-AK27</f>
        <v>10.034600000000001</v>
      </c>
      <c r="AP27" s="36">
        <f t="shared" si="69"/>
        <v>0.47645505964163659</v>
      </c>
      <c r="AQ27" s="46">
        <f t="shared" si="70"/>
        <v>1.3500234192037475</v>
      </c>
      <c r="AR27" s="302">
        <f t="shared" si="126"/>
        <v>0.20232446681044824</v>
      </c>
      <c r="AS27" s="53">
        <f t="shared" si="127"/>
        <v>9.9734000000000016</v>
      </c>
      <c r="AT27" s="36">
        <f t="shared" si="71"/>
        <v>0.44683607674214965</v>
      </c>
      <c r="AU27" s="46">
        <f t="shared" si="72"/>
        <v>1.1244408469305158</v>
      </c>
      <c r="AV27" s="52">
        <f t="shared" si="128"/>
        <v>-6.0988978135649852E-3</v>
      </c>
      <c r="AW27" s="341">
        <v>35.005000000000003</v>
      </c>
      <c r="AX27" s="36">
        <f t="shared" si="73"/>
        <v>0.43145206019745364</v>
      </c>
      <c r="AY27" s="325">
        <f t="shared" si="129"/>
        <v>1.2346564866003602</v>
      </c>
      <c r="AZ27" s="204">
        <f>AZ29+AZ28</f>
        <v>10.49</v>
      </c>
      <c r="BA27" s="36">
        <f t="shared" si="74"/>
        <v>0.4896149358226371</v>
      </c>
      <c r="BB27" s="46">
        <f t="shared" si="75"/>
        <v>0.57720643512253811</v>
      </c>
      <c r="BC27" s="302">
        <f t="shared" si="76"/>
        <v>5.1797782100386991E-2</v>
      </c>
      <c r="BD27" s="53">
        <f>BD29+BD28</f>
        <v>7.5814890000000004</v>
      </c>
      <c r="BE27" s="36">
        <f t="shared" si="77"/>
        <v>0.51948804161666096</v>
      </c>
      <c r="BF27" s="46">
        <f t="shared" si="78"/>
        <v>-9.1602084831056807E-2</v>
      </c>
      <c r="BG27" s="302">
        <f t="shared" si="79"/>
        <v>-0.27726510962821738</v>
      </c>
      <c r="BH27" s="53">
        <f>BH29+BH28</f>
        <v>9.8859439999999985</v>
      </c>
      <c r="BI27" s="36">
        <f t="shared" si="80"/>
        <v>0.50529034732544709</v>
      </c>
      <c r="BJ27" s="46">
        <f t="shared" si="81"/>
        <v>-1.4814342375381484E-2</v>
      </c>
      <c r="BK27" s="302">
        <f t="shared" si="82"/>
        <v>0.30395810110652377</v>
      </c>
      <c r="BL27" s="53">
        <f>BL29+BL28</f>
        <v>9.7895670000000017</v>
      </c>
      <c r="BM27" s="36">
        <f t="shared" si="83"/>
        <v>0.46891710850527291</v>
      </c>
      <c r="BN27" s="46">
        <f t="shared" si="84"/>
        <v>-1.8432329997794095E-2</v>
      </c>
      <c r="BO27" s="52">
        <f t="shared" si="85"/>
        <v>-9.7488919621633308E-3</v>
      </c>
      <c r="BP27" s="341">
        <f>BP29+BP28</f>
        <v>37.747</v>
      </c>
      <c r="BQ27" s="36">
        <f t="shared" si="86"/>
        <v>0.4936765148245511</v>
      </c>
      <c r="BR27" s="325">
        <f t="shared" si="87"/>
        <v>7.8331666904727815E-2</v>
      </c>
      <c r="BS27" s="204">
        <f>BS29+BS28</f>
        <v>10.10093</v>
      </c>
      <c r="BT27" s="36">
        <f t="shared" si="88"/>
        <v>0.47376458263213245</v>
      </c>
      <c r="BU27" s="46">
        <f t="shared" si="89"/>
        <v>-3.7089609151573E-2</v>
      </c>
      <c r="BV27" s="302">
        <f t="shared" si="90"/>
        <v>3.1805594670325954E-2</v>
      </c>
      <c r="BW27" s="53">
        <f>21.131-BS27</f>
        <v>11.03007</v>
      </c>
      <c r="BX27" s="36">
        <f t="shared" si="91"/>
        <v>0.37404735524764426</v>
      </c>
      <c r="BY27" s="46">
        <f t="shared" si="92"/>
        <v>0.45486856209908111</v>
      </c>
      <c r="BZ27" s="302">
        <f t="shared" si="93"/>
        <v>9.1985589445724436E-2</v>
      </c>
      <c r="CA27" s="53">
        <f>CA28+CA29</f>
        <v>11.527940999999998</v>
      </c>
      <c r="CB27" s="36">
        <f t="shared" si="94"/>
        <v>0.47140696438655094</v>
      </c>
      <c r="CC27" s="46">
        <f t="shared" si="95"/>
        <v>0.16609410290003668</v>
      </c>
      <c r="CD27" s="302">
        <f t="shared" si="96"/>
        <v>4.5137610187423904E-2</v>
      </c>
      <c r="CE27" s="53">
        <v>12.658999999999999</v>
      </c>
      <c r="CF27" s="36">
        <f t="shared" si="97"/>
        <v>0.499796097879177</v>
      </c>
      <c r="CG27" s="46">
        <f t="shared" si="98"/>
        <v>0.29311132964307784</v>
      </c>
      <c r="CH27" s="52">
        <f t="shared" si="99"/>
        <v>9.8114572238008568E-2</v>
      </c>
      <c r="CI27" s="341">
        <f>CI29+CI28</f>
        <v>45.317999999999998</v>
      </c>
      <c r="CJ27" s="36">
        <f t="shared" si="100"/>
        <v>0.45050848468581312</v>
      </c>
      <c r="CK27" s="325">
        <f t="shared" si="101"/>
        <v>0.20057223090576737</v>
      </c>
      <c r="CL27" s="204">
        <f>CL29+CL28</f>
        <v>11.8</v>
      </c>
      <c r="CM27" s="36">
        <f t="shared" si="102"/>
        <v>0.33346521223082581</v>
      </c>
      <c r="CN27" s="46">
        <f t="shared" si="103"/>
        <v>0.16820926389946278</v>
      </c>
      <c r="CO27" s="302">
        <f t="shared" si="104"/>
        <v>-6.7856860731495217E-2</v>
      </c>
      <c r="CP27" s="53">
        <v>12</v>
      </c>
      <c r="CQ27" s="36">
        <f t="shared" si="105"/>
        <v>0.3669612550074921</v>
      </c>
      <c r="CR27" s="46">
        <f t="shared" si="106"/>
        <v>8.793507203490103E-2</v>
      </c>
      <c r="CS27" s="302">
        <f t="shared" si="107"/>
        <v>1.6949152542372836E-2</v>
      </c>
      <c r="CT27" s="53">
        <f>CT28+CT29</f>
        <v>15.3</v>
      </c>
      <c r="CU27" s="36">
        <f t="shared" si="108"/>
        <v>0.45997053783483155</v>
      </c>
      <c r="CV27" s="46">
        <f>CT27/CA27-1</f>
        <v>0.32721012364653879</v>
      </c>
      <c r="CW27" s="302">
        <f t="shared" si="110"/>
        <v>0.27500000000000013</v>
      </c>
      <c r="CX27" s="53">
        <f>CX28+CX29</f>
        <v>16.608000000000001</v>
      </c>
      <c r="CY27" s="36">
        <f t="shared" si="111"/>
        <v>0.41048963147878098</v>
      </c>
      <c r="CZ27" s="46">
        <f t="shared" si="112"/>
        <v>0.31195197092977334</v>
      </c>
      <c r="DA27" s="52">
        <f t="shared" si="113"/>
        <v>8.5490196078431335E-2</v>
      </c>
      <c r="DB27" s="341">
        <f>DB29+DB28</f>
        <v>55.608000000000004</v>
      </c>
      <c r="DC27" s="36">
        <f t="shared" si="114"/>
        <v>0.39216073456089257</v>
      </c>
      <c r="DD27" s="325">
        <f t="shared" si="115"/>
        <v>0.22706209453197412</v>
      </c>
      <c r="DE27" s="204">
        <f>DE29+DE28</f>
        <v>18.686</v>
      </c>
      <c r="DF27" s="36">
        <f t="shared" si="116"/>
        <v>0.47946259955661386</v>
      </c>
      <c r="DG27" s="46">
        <f t="shared" si="117"/>
        <v>0.58355932203389815</v>
      </c>
      <c r="DH27" s="302">
        <f t="shared" si="118"/>
        <v>0.12512042389210021</v>
      </c>
      <c r="DI27" s="53">
        <f>DI28+DI29</f>
        <v>21.773000000000003</v>
      </c>
      <c r="DJ27" s="36">
        <f t="shared" si="119"/>
        <v>0.47440897701274654</v>
      </c>
      <c r="DK27" s="46">
        <f t="shared" si="120"/>
        <v>0.81441666666666701</v>
      </c>
      <c r="DL27" s="302">
        <f t="shared" si="121"/>
        <v>0.1652038959648936</v>
      </c>
      <c r="DM27" s="53">
        <f>DM28+DM29</f>
        <v>20.497999999999998</v>
      </c>
      <c r="DN27" s="36">
        <f t="shared" si="122"/>
        <v>0.42487304383873969</v>
      </c>
      <c r="DO27" s="46">
        <f t="shared" si="123"/>
        <v>0.33973856209150299</v>
      </c>
      <c r="DP27" s="302">
        <f t="shared" si="124"/>
        <v>-5.8558765443439409E-2</v>
      </c>
      <c r="DQ27" s="45"/>
      <c r="DR27" s="374"/>
      <c r="DS27" s="52"/>
      <c r="DT27" s="52"/>
      <c r="DU27" s="341"/>
      <c r="DV27" s="36"/>
      <c r="DW27" s="325"/>
    </row>
    <row r="28" spans="1:127" s="6" customFormat="1" ht="16.95" customHeight="1" x14ac:dyDescent="0.4">
      <c r="A28" s="41" t="s">
        <v>40</v>
      </c>
      <c r="B28" s="216"/>
      <c r="C28" s="241"/>
      <c r="D28" s="242"/>
      <c r="E28" s="241"/>
      <c r="F28" s="242"/>
      <c r="G28" s="257">
        <v>1.35</v>
      </c>
      <c r="H28" s="42">
        <v>2.08</v>
      </c>
      <c r="I28" s="42">
        <v>1.93</v>
      </c>
      <c r="J28" s="296">
        <f>6.234-G28-H28-I28</f>
        <v>0.87400000000000033</v>
      </c>
      <c r="K28" s="339">
        <f t="shared" si="47"/>
        <v>6.2340000000000009</v>
      </c>
      <c r="L28" s="56">
        <f t="shared" si="48"/>
        <v>0.17877831947232578</v>
      </c>
      <c r="M28" s="242"/>
      <c r="N28" s="42">
        <v>1.95</v>
      </c>
      <c r="O28" s="55">
        <f t="shared" si="49"/>
        <v>0.19837232960325535</v>
      </c>
      <c r="P28" s="54">
        <f t="shared" si="50"/>
        <v>0.44444444444444442</v>
      </c>
      <c r="Q28" s="367">
        <f t="shared" si="51"/>
        <v>1.2311212814645298</v>
      </c>
      <c r="R28" s="42">
        <v>2.25</v>
      </c>
      <c r="S28" s="55">
        <f t="shared" si="52"/>
        <v>0.1963350785340314</v>
      </c>
      <c r="T28" s="54">
        <f t="shared" si="53"/>
        <v>8.1730769230769162E-2</v>
      </c>
      <c r="U28" s="308">
        <f>R28/N28-1</f>
        <v>0.15384615384615397</v>
      </c>
      <c r="V28" s="205">
        <v>2.12</v>
      </c>
      <c r="W28" s="55">
        <f t="shared" si="55"/>
        <v>0.18260120585701983</v>
      </c>
      <c r="X28" s="54">
        <f t="shared" si="56"/>
        <v>9.8445595854922407E-2</v>
      </c>
      <c r="Y28" s="315">
        <f>V28/R28-1</f>
        <v>-5.7777777777777706E-2</v>
      </c>
      <c r="Z28" s="195">
        <f t="shared" si="58"/>
        <v>1.5065999999999997</v>
      </c>
      <c r="AA28" s="55">
        <f t="shared" si="59"/>
        <v>0.10332624648515187</v>
      </c>
      <c r="AB28" s="54">
        <f t="shared" si="60"/>
        <v>0.72379862700228736</v>
      </c>
      <c r="AC28" s="85">
        <f>Z28/V28-1</f>
        <v>-0.28933962264150959</v>
      </c>
      <c r="AD28" s="339">
        <v>7.8266</v>
      </c>
      <c r="AE28" s="56">
        <f t="shared" si="62"/>
        <v>0.16483646090014953</v>
      </c>
      <c r="AF28" s="340">
        <f t="shared" si="63"/>
        <v>0.25547000320821289</v>
      </c>
      <c r="AG28" s="195">
        <v>2.6219999999999999</v>
      </c>
      <c r="AH28" s="56">
        <f t="shared" si="64"/>
        <v>0.16195182211241504</v>
      </c>
      <c r="AI28" s="54">
        <f t="shared" si="65"/>
        <v>0.34461538461538455</v>
      </c>
      <c r="AJ28" s="315">
        <f t="shared" si="66"/>
        <v>0.74034249303066524</v>
      </c>
      <c r="AK28" s="195">
        <f>6.216-AG28</f>
        <v>3.5940000000000003</v>
      </c>
      <c r="AL28" s="56">
        <f t="shared" si="67"/>
        <v>0.16668985668568251</v>
      </c>
      <c r="AM28" s="54">
        <f t="shared" si="68"/>
        <v>0.59733333333333349</v>
      </c>
      <c r="AN28" s="315">
        <f>AK28/AG28-1</f>
        <v>0.37070938215102989</v>
      </c>
      <c r="AO28" s="195">
        <f>11.045669-AG28-AK28</f>
        <v>4.829669</v>
      </c>
      <c r="AP28" s="56">
        <f t="shared" si="69"/>
        <v>0.22931858085467913</v>
      </c>
      <c r="AQ28" s="54">
        <f t="shared" si="70"/>
        <v>1.2781457547169812</v>
      </c>
      <c r="AR28" s="315">
        <f>AO28/AK28-1</f>
        <v>0.34381441291040615</v>
      </c>
      <c r="AS28" s="195">
        <f>AW28-AO28-AK28-AG28</f>
        <v>3.5973310000000014</v>
      </c>
      <c r="AT28" s="89">
        <f t="shared" si="71"/>
        <v>0.16117044044988812</v>
      </c>
      <c r="AU28" s="54">
        <f t="shared" si="72"/>
        <v>1.3877147218903505</v>
      </c>
      <c r="AV28" s="85">
        <f>AS28/AO28-1</f>
        <v>-0.25515992917941144</v>
      </c>
      <c r="AW28" s="339">
        <v>14.643000000000001</v>
      </c>
      <c r="AX28" s="56">
        <f t="shared" si="73"/>
        <v>0.18048143172321993</v>
      </c>
      <c r="AY28" s="340">
        <f>AW28/AD28-1</f>
        <v>0.87092735031814583</v>
      </c>
      <c r="AZ28" s="190">
        <v>5.48</v>
      </c>
      <c r="BA28" s="56">
        <f t="shared" si="74"/>
        <v>0.25577596266044345</v>
      </c>
      <c r="BB28" s="54">
        <f>AZ28/AG28-1</f>
        <v>1.0900076277650652</v>
      </c>
      <c r="BC28" s="315">
        <f>AZ28/AS28-1</f>
        <v>0.52335161818581555</v>
      </c>
      <c r="BD28" s="195">
        <f>7.640379-AZ28</f>
        <v>2.1603789999999998</v>
      </c>
      <c r="BE28" s="56">
        <f t="shared" si="77"/>
        <v>0.14803042724981336</v>
      </c>
      <c r="BF28" s="54">
        <f>BD28/AK28-1</f>
        <v>-0.39889287701725107</v>
      </c>
      <c r="BG28" s="315">
        <f>BD28/AZ28-1</f>
        <v>-0.60577025547445262</v>
      </c>
      <c r="BH28" s="195">
        <f>12.176282-AZ28-BD28</f>
        <v>4.5359030000000002</v>
      </c>
      <c r="BI28" s="56">
        <f t="shared" si="80"/>
        <v>0.23183906385718328</v>
      </c>
      <c r="BJ28" s="54">
        <f t="shared" si="81"/>
        <v>-6.0825286370556619E-2</v>
      </c>
      <c r="BK28" s="315">
        <f t="shared" si="82"/>
        <v>1.0995866928904605</v>
      </c>
      <c r="BL28" s="195">
        <f>BP28-AZ28-BD28-BH28</f>
        <v>4.809718000000001</v>
      </c>
      <c r="BM28" s="89">
        <f t="shared" si="83"/>
        <v>0.2303839441811639</v>
      </c>
      <c r="BN28" s="54">
        <f t="shared" si="84"/>
        <v>0.33702403253967983</v>
      </c>
      <c r="BO28" s="85">
        <f t="shared" si="85"/>
        <v>6.0366149805231917E-2</v>
      </c>
      <c r="BP28" s="339">
        <v>16.986000000000001</v>
      </c>
      <c r="BQ28" s="56">
        <f t="shared" si="86"/>
        <v>0.22215246988660886</v>
      </c>
      <c r="BR28" s="340">
        <f t="shared" si="87"/>
        <v>0.16000819504199959</v>
      </c>
      <c r="BS28" s="190">
        <v>5.6347199999999997</v>
      </c>
      <c r="BT28" s="56">
        <f t="shared" si="88"/>
        <v>0.26428564192098442</v>
      </c>
      <c r="BU28" s="54">
        <f t="shared" si="89"/>
        <v>2.8233576642335612E-2</v>
      </c>
      <c r="BV28" s="315">
        <f t="shared" si="90"/>
        <v>0.17152814364584335</v>
      </c>
      <c r="BW28" s="195">
        <f>11.691101-BS28</f>
        <v>6.056381</v>
      </c>
      <c r="BX28" s="56">
        <f t="shared" si="91"/>
        <v>0.20538158827841371</v>
      </c>
      <c r="BY28" s="54">
        <f t="shared" si="92"/>
        <v>1.8033882017923708</v>
      </c>
      <c r="BZ28" s="315">
        <f t="shared" si="93"/>
        <v>7.4832644745435495E-2</v>
      </c>
      <c r="CA28" s="195">
        <f>18.743-BS28-BW28</f>
        <v>7.0518989999999988</v>
      </c>
      <c r="CB28" s="56">
        <f t="shared" si="94"/>
        <v>0.28837016955157507</v>
      </c>
      <c r="CC28" s="54">
        <f t="shared" si="95"/>
        <v>0.55468470114991408</v>
      </c>
      <c r="CD28" s="315">
        <f t="shared" si="96"/>
        <v>0.1643750616085744</v>
      </c>
      <c r="CE28" s="195">
        <v>7.9830000000000005</v>
      </c>
      <c r="CF28" s="89">
        <f t="shared" si="97"/>
        <v>0.3151806816786058</v>
      </c>
      <c r="CG28" s="54">
        <f t="shared" si="98"/>
        <v>0.65976466811567724</v>
      </c>
      <c r="CH28" s="85">
        <f t="shared" si="99"/>
        <v>0.13203549852316399</v>
      </c>
      <c r="CI28" s="339">
        <f>BS28+BW28+CA28+CE28</f>
        <v>26.725999999999999</v>
      </c>
      <c r="CJ28" s="56">
        <f t="shared" si="100"/>
        <v>0.26568449096855645</v>
      </c>
      <c r="CK28" s="340">
        <f t="shared" si="101"/>
        <v>0.57341339926998702</v>
      </c>
      <c r="CL28" s="190">
        <v>8.3000000000000007</v>
      </c>
      <c r="CM28" s="56">
        <f t="shared" si="102"/>
        <v>0.23455603911151307</v>
      </c>
      <c r="CN28" s="54">
        <f t="shared" si="103"/>
        <v>0.47301019394042676</v>
      </c>
      <c r="CO28" s="315">
        <f t="shared" si="104"/>
        <v>3.9709382437680185E-2</v>
      </c>
      <c r="CP28" s="195">
        <v>7.5</v>
      </c>
      <c r="CQ28" s="56">
        <f t="shared" si="105"/>
        <v>0.22935078437968257</v>
      </c>
      <c r="CR28" s="54">
        <f t="shared" si="106"/>
        <v>0.2383633064036097</v>
      </c>
      <c r="CS28" s="315">
        <f t="shared" si="107"/>
        <v>-9.6385542168674787E-2</v>
      </c>
      <c r="CT28" s="195">
        <v>9.8000000000000007</v>
      </c>
      <c r="CU28" s="56">
        <f t="shared" si="108"/>
        <v>0.2946216516850555</v>
      </c>
      <c r="CV28" s="54">
        <f t="shared" si="109"/>
        <v>0.38969659094663744</v>
      </c>
      <c r="CW28" s="315">
        <f t="shared" si="110"/>
        <v>0.30666666666666687</v>
      </c>
      <c r="CX28" s="195">
        <v>9.0950000000000006</v>
      </c>
      <c r="CY28" s="89">
        <f t="shared" si="111"/>
        <v>0.22479547195926741</v>
      </c>
      <c r="CZ28" s="54">
        <f t="shared" si="112"/>
        <v>0.13929600400851805</v>
      </c>
      <c r="DA28" s="85">
        <f t="shared" si="113"/>
        <v>-7.1938775510204112E-2</v>
      </c>
      <c r="DB28" s="339">
        <f>CL28+CP28+CT28+CX28</f>
        <v>34.695</v>
      </c>
      <c r="DC28" s="56">
        <f t="shared" si="114"/>
        <v>0.24467732494587408</v>
      </c>
      <c r="DD28" s="340">
        <f t="shared" si="115"/>
        <v>0.2981740627104692</v>
      </c>
      <c r="DE28" s="190">
        <v>10.478</v>
      </c>
      <c r="DF28" s="56">
        <f t="shared" si="116"/>
        <v>0.26885417521964033</v>
      </c>
      <c r="DG28" s="54">
        <f t="shared" si="117"/>
        <v>0.26240963855421673</v>
      </c>
      <c r="DH28" s="315">
        <f t="shared" si="118"/>
        <v>0.15206157229246831</v>
      </c>
      <c r="DI28" s="195">
        <v>13.505000000000001</v>
      </c>
      <c r="DJ28" s="56">
        <f t="shared" si="119"/>
        <v>0.29425863383810874</v>
      </c>
      <c r="DK28" s="54">
        <f t="shared" si="120"/>
        <v>0.80066666666666686</v>
      </c>
      <c r="DL28" s="315">
        <f t="shared" si="121"/>
        <v>0.2888910097346824</v>
      </c>
      <c r="DM28" s="195">
        <v>12.16</v>
      </c>
      <c r="DN28" s="56">
        <f t="shared" si="122"/>
        <v>0.25204684423256296</v>
      </c>
      <c r="DO28" s="54">
        <f t="shared" si="123"/>
        <v>0.24081632653061225</v>
      </c>
      <c r="DP28" s="315">
        <f t="shared" si="124"/>
        <v>-9.9592743428359887E-2</v>
      </c>
      <c r="DQ28" s="195"/>
      <c r="DR28" s="89"/>
      <c r="DS28" s="54"/>
      <c r="DT28" s="85"/>
      <c r="DU28" s="339"/>
      <c r="DV28" s="56"/>
      <c r="DW28" s="340"/>
    </row>
    <row r="29" spans="1:127" s="6" customFormat="1" ht="16.95" customHeight="1" x14ac:dyDescent="0.4">
      <c r="A29" s="41" t="s">
        <v>41</v>
      </c>
      <c r="B29" s="216"/>
      <c r="C29" s="241"/>
      <c r="D29" s="242"/>
      <c r="E29" s="241"/>
      <c r="F29" s="242"/>
      <c r="G29" s="257">
        <v>0.56999999999999995</v>
      </c>
      <c r="H29" s="42">
        <v>0.7</v>
      </c>
      <c r="I29" s="42">
        <v>0.8</v>
      </c>
      <c r="J29" s="296">
        <f>2.993-G29-H29-I29</f>
        <v>0.92300000000000004</v>
      </c>
      <c r="K29" s="339">
        <f t="shared" si="47"/>
        <v>2.9930000000000003</v>
      </c>
      <c r="L29" s="56">
        <f t="shared" si="48"/>
        <v>8.5833094350444505E-2</v>
      </c>
      <c r="M29" s="242"/>
      <c r="N29" s="42">
        <v>1.1399999999999999</v>
      </c>
      <c r="O29" s="55">
        <f t="shared" si="49"/>
        <v>0.11597151576805696</v>
      </c>
      <c r="P29" s="54">
        <f t="shared" si="50"/>
        <v>1</v>
      </c>
      <c r="Q29" s="367">
        <f t="shared" si="51"/>
        <v>0.23510292524377019</v>
      </c>
      <c r="R29" s="42">
        <v>1.36</v>
      </c>
      <c r="S29" s="55">
        <f t="shared" si="52"/>
        <v>0.11867364746945899</v>
      </c>
      <c r="T29" s="54">
        <f t="shared" si="53"/>
        <v>0.94285714285714306</v>
      </c>
      <c r="U29" s="308">
        <f t="shared" si="54"/>
        <v>0.19298245614035103</v>
      </c>
      <c r="V29" s="205">
        <v>2.15</v>
      </c>
      <c r="W29" s="55">
        <f t="shared" si="55"/>
        <v>0.18518518518518517</v>
      </c>
      <c r="X29" s="54">
        <f t="shared" si="56"/>
        <v>1.6874999999999996</v>
      </c>
      <c r="Y29" s="315">
        <f t="shared" si="57"/>
        <v>0.58088235294117618</v>
      </c>
      <c r="Z29" s="195">
        <f t="shared" si="58"/>
        <v>3.1880000000000002</v>
      </c>
      <c r="AA29" s="55">
        <f t="shared" si="59"/>
        <v>0.2186406967972018</v>
      </c>
      <c r="AB29" s="54">
        <f t="shared" si="60"/>
        <v>2.4539544962080173</v>
      </c>
      <c r="AC29" s="85">
        <f t="shared" si="61"/>
        <v>0.48279069767441873</v>
      </c>
      <c r="AD29" s="339">
        <v>7.8380000000000001</v>
      </c>
      <c r="AE29" s="56">
        <f t="shared" si="62"/>
        <v>0.16507655693856491</v>
      </c>
      <c r="AF29" s="340">
        <f t="shared" si="63"/>
        <v>1.6187771466755763</v>
      </c>
      <c r="AG29" s="195">
        <v>4.0289999999999999</v>
      </c>
      <c r="AH29" s="56">
        <f t="shared" si="64"/>
        <v>0.24885731933292154</v>
      </c>
      <c r="AI29" s="54">
        <f t="shared" si="65"/>
        <v>2.5342105263157899</v>
      </c>
      <c r="AJ29" s="315">
        <f t="shared" si="66"/>
        <v>0.26380175658720195</v>
      </c>
      <c r="AK29" s="195">
        <f>8.781-AG29</f>
        <v>4.7520000000000007</v>
      </c>
      <c r="AL29" s="56">
        <f t="shared" si="67"/>
        <v>0.22039794072631141</v>
      </c>
      <c r="AM29" s="54">
        <f t="shared" si="68"/>
        <v>2.4941176470588236</v>
      </c>
      <c r="AN29" s="315">
        <f t="shared" si="125"/>
        <v>0.17944899478778864</v>
      </c>
      <c r="AO29" s="195">
        <f>13.985931-AK29-AG29</f>
        <v>5.2049310000000002</v>
      </c>
      <c r="AP29" s="56">
        <f t="shared" si="69"/>
        <v>0.24713647878695741</v>
      </c>
      <c r="AQ29" s="54">
        <f t="shared" si="70"/>
        <v>1.4208981395348839</v>
      </c>
      <c r="AR29" s="315">
        <f t="shared" si="126"/>
        <v>9.5313762626262566E-2</v>
      </c>
      <c r="AS29" s="195">
        <f t="shared" si="127"/>
        <v>6.3760689999999975</v>
      </c>
      <c r="AT29" s="89">
        <f t="shared" si="71"/>
        <v>0.28566563629226138</v>
      </c>
      <c r="AU29" s="54">
        <f t="shared" si="72"/>
        <v>1.0000216436637381</v>
      </c>
      <c r="AV29" s="85">
        <f t="shared" si="128"/>
        <v>0.22500548038004675</v>
      </c>
      <c r="AW29" s="339">
        <f>20.362</f>
        <v>20.361999999999998</v>
      </c>
      <c r="AX29" s="56">
        <f t="shared" si="73"/>
        <v>0.25097062847423368</v>
      </c>
      <c r="AY29" s="340">
        <f t="shared" si="129"/>
        <v>1.5978565960704261</v>
      </c>
      <c r="AZ29" s="190">
        <v>5.01</v>
      </c>
      <c r="BA29" s="56">
        <f t="shared" si="74"/>
        <v>0.23383897316219368</v>
      </c>
      <c r="BB29" s="54">
        <f t="shared" si="75"/>
        <v>0.24348473566641848</v>
      </c>
      <c r="BC29" s="315">
        <f t="shared" si="76"/>
        <v>-0.21424940664851622</v>
      </c>
      <c r="BD29" s="195">
        <f>10.43111-AZ29</f>
        <v>5.4211100000000005</v>
      </c>
      <c r="BE29" s="56">
        <f t="shared" si="77"/>
        <v>0.37145761436684754</v>
      </c>
      <c r="BF29" s="54">
        <f t="shared" si="78"/>
        <v>0.14080597643097637</v>
      </c>
      <c r="BG29" s="315">
        <f t="shared" si="79"/>
        <v>8.2057884231537148E-2</v>
      </c>
      <c r="BH29" s="195">
        <f>15.781151-AZ29-BD29</f>
        <v>5.3500409999999992</v>
      </c>
      <c r="BI29" s="56">
        <f t="shared" si="80"/>
        <v>0.27345128346826386</v>
      </c>
      <c r="BJ29" s="54">
        <f t="shared" si="81"/>
        <v>2.7879332117947131E-2</v>
      </c>
      <c r="BK29" s="315">
        <f t="shared" si="82"/>
        <v>-1.3109676800507897E-2</v>
      </c>
      <c r="BL29" s="195">
        <f>BP29-AZ29-BD29-BH29</f>
        <v>4.9798489999999997</v>
      </c>
      <c r="BM29" s="89">
        <f t="shared" si="83"/>
        <v>0.23853316432410893</v>
      </c>
      <c r="BN29" s="54">
        <f t="shared" si="84"/>
        <v>-0.21897818232519106</v>
      </c>
      <c r="BO29" s="85">
        <f t="shared" si="85"/>
        <v>-6.9194236081555172E-2</v>
      </c>
      <c r="BP29" s="339">
        <v>20.760999999999999</v>
      </c>
      <c r="BQ29" s="56">
        <f t="shared" si="86"/>
        <v>0.27152404493794219</v>
      </c>
      <c r="BR29" s="340">
        <f t="shared" si="87"/>
        <v>1.9595324624300137E-2</v>
      </c>
      <c r="BS29" s="190">
        <v>4.4662100000000002</v>
      </c>
      <c r="BT29" s="56">
        <f t="shared" si="88"/>
        <v>0.20947894071114803</v>
      </c>
      <c r="BU29" s="54">
        <f t="shared" si="89"/>
        <v>-0.10854091816367262</v>
      </c>
      <c r="BV29" s="315">
        <f t="shared" si="90"/>
        <v>-0.10314348888892</v>
      </c>
      <c r="BW29" s="195">
        <f>9.439958-BS29</f>
        <v>4.9737480000000005</v>
      </c>
      <c r="BX29" s="56">
        <f t="shared" si="91"/>
        <v>0.16866776775380937</v>
      </c>
      <c r="BY29" s="54">
        <f t="shared" si="92"/>
        <v>-8.2522214085307244E-2</v>
      </c>
      <c r="BZ29" s="315">
        <f t="shared" si="93"/>
        <v>0.1136395288174985</v>
      </c>
      <c r="CA29" s="195">
        <f>13.916-BW29-BS29</f>
        <v>4.4760419999999996</v>
      </c>
      <c r="CB29" s="56">
        <f t="shared" si="94"/>
        <v>0.18303679483497584</v>
      </c>
      <c r="CC29" s="54">
        <f t="shared" si="95"/>
        <v>-0.16336304712431171</v>
      </c>
      <c r="CD29" s="315">
        <f t="shared" si="96"/>
        <v>-0.10006658962215231</v>
      </c>
      <c r="CE29" s="195">
        <v>4.6759999999999984</v>
      </c>
      <c r="CF29" s="89">
        <f t="shared" si="97"/>
        <v>0.1846154162005712</v>
      </c>
      <c r="CG29" s="54">
        <f t="shared" si="98"/>
        <v>-6.1015705496291428E-2</v>
      </c>
      <c r="CH29" s="85">
        <f t="shared" si="99"/>
        <v>4.4672949896358949E-2</v>
      </c>
      <c r="CI29" s="339">
        <f>BS29+BW29+CA29+CE29</f>
        <v>18.591999999999999</v>
      </c>
      <c r="CJ29" s="56">
        <f t="shared" si="100"/>
        <v>0.18482399371725666</v>
      </c>
      <c r="CK29" s="340">
        <f t="shared" si="101"/>
        <v>-0.10447473628437942</v>
      </c>
      <c r="CL29" s="190">
        <v>3.5</v>
      </c>
      <c r="CM29" s="56">
        <f t="shared" si="102"/>
        <v>9.8909173119312729E-2</v>
      </c>
      <c r="CN29" s="54">
        <f t="shared" si="103"/>
        <v>-0.21633778975910223</v>
      </c>
      <c r="CO29" s="315">
        <f t="shared" si="104"/>
        <v>-0.25149700598802371</v>
      </c>
      <c r="CP29" s="195">
        <v>4.4000000000000004</v>
      </c>
      <c r="CQ29" s="56">
        <f t="shared" si="105"/>
        <v>0.1345524601694138</v>
      </c>
      <c r="CR29" s="54">
        <f t="shared" si="106"/>
        <v>-0.11535526126373918</v>
      </c>
      <c r="CS29" s="315">
        <f t="shared" si="107"/>
        <v>0.25714285714285734</v>
      </c>
      <c r="CT29" s="195">
        <v>5.5</v>
      </c>
      <c r="CU29" s="56">
        <f t="shared" si="108"/>
        <v>0.16534888614977603</v>
      </c>
      <c r="CV29" s="54">
        <f t="shared" si="109"/>
        <v>0.22876416262403265</v>
      </c>
      <c r="CW29" s="315">
        <f t="shared" si="110"/>
        <v>0.25</v>
      </c>
      <c r="CX29" s="195">
        <v>7.5129999999999999</v>
      </c>
      <c r="CY29" s="89">
        <f t="shared" si="111"/>
        <v>0.18569415951951357</v>
      </c>
      <c r="CZ29" s="54">
        <f t="shared" si="112"/>
        <v>0.60671514114627945</v>
      </c>
      <c r="DA29" s="85">
        <f t="shared" si="113"/>
        <v>0.36599999999999988</v>
      </c>
      <c r="DB29" s="339">
        <f>CL29+CP29+CT29+CX29</f>
        <v>20.913</v>
      </c>
      <c r="DC29" s="56">
        <f t="shared" si="114"/>
        <v>0.14748340961501843</v>
      </c>
      <c r="DD29" s="340">
        <f t="shared" si="115"/>
        <v>0.12483864027538738</v>
      </c>
      <c r="DE29" s="190">
        <v>8.2080000000000002</v>
      </c>
      <c r="DF29" s="56">
        <f t="shared" si="116"/>
        <v>0.21060842433697349</v>
      </c>
      <c r="DG29" s="54">
        <f t="shared" si="117"/>
        <v>1.3451428571428572</v>
      </c>
      <c r="DH29" s="315">
        <f t="shared" si="118"/>
        <v>9.2506322374550809E-2</v>
      </c>
      <c r="DI29" s="195">
        <v>8.2680000000000007</v>
      </c>
      <c r="DJ29" s="56">
        <f t="shared" si="119"/>
        <v>0.18015034317463777</v>
      </c>
      <c r="DK29" s="54">
        <f t="shared" si="120"/>
        <v>0.87909090909090915</v>
      </c>
      <c r="DL29" s="315">
        <f t="shared" si="121"/>
        <v>7.309941520467822E-3</v>
      </c>
      <c r="DM29" s="195">
        <v>8.3379999999999992</v>
      </c>
      <c r="DN29" s="56">
        <f t="shared" si="122"/>
        <v>0.17282619960617676</v>
      </c>
      <c r="DO29" s="54">
        <f t="shared" si="123"/>
        <v>0.51599999999999979</v>
      </c>
      <c r="DP29" s="315">
        <f t="shared" si="124"/>
        <v>8.4663763909045286E-3</v>
      </c>
      <c r="DQ29" s="195"/>
      <c r="DR29" s="89"/>
      <c r="DS29" s="54"/>
      <c r="DT29" s="85"/>
      <c r="DU29" s="339"/>
      <c r="DV29" s="56"/>
      <c r="DW29" s="340"/>
    </row>
    <row r="30" spans="1:127" s="10" customFormat="1" ht="16.95" customHeight="1" x14ac:dyDescent="0.4">
      <c r="A30" s="43" t="s">
        <v>44</v>
      </c>
      <c r="B30" s="217"/>
      <c r="C30" s="171"/>
      <c r="D30" s="243"/>
      <c r="E30" s="171"/>
      <c r="F30" s="243"/>
      <c r="G30" s="258">
        <f>G32+G31</f>
        <v>0.21</v>
      </c>
      <c r="H30" s="44">
        <f>H32+H31</f>
        <v>0.14000000000000001</v>
      </c>
      <c r="I30" s="44">
        <f>I32+I31</f>
        <v>0.19</v>
      </c>
      <c r="J30" s="297">
        <f>J32+J31</f>
        <v>0.31799999999999995</v>
      </c>
      <c r="K30" s="341">
        <f t="shared" si="47"/>
        <v>0.85799999999999998</v>
      </c>
      <c r="L30" s="36">
        <f t="shared" si="48"/>
        <v>2.4605678233438483E-2</v>
      </c>
      <c r="M30" s="243"/>
      <c r="N30" s="51">
        <v>0.28000000000000003</v>
      </c>
      <c r="O30" s="45">
        <f t="shared" si="49"/>
        <v>2.8484231943031537E-2</v>
      </c>
      <c r="P30" s="46">
        <f t="shared" si="50"/>
        <v>0.33333333333333348</v>
      </c>
      <c r="Q30" s="368">
        <f t="shared" si="51"/>
        <v>-0.1194968553459117</v>
      </c>
      <c r="R30" s="51">
        <v>0.38</v>
      </c>
      <c r="S30" s="45">
        <f t="shared" si="52"/>
        <v>3.3158813263525301E-2</v>
      </c>
      <c r="T30" s="46">
        <f t="shared" si="53"/>
        <v>1.714285714285714</v>
      </c>
      <c r="U30" s="309">
        <f t="shared" si="54"/>
        <v>0.35714285714285698</v>
      </c>
      <c r="V30" s="53">
        <v>0.33</v>
      </c>
      <c r="W30" s="45">
        <f t="shared" si="55"/>
        <v>2.8423772609819126E-2</v>
      </c>
      <c r="X30" s="46">
        <f t="shared" si="56"/>
        <v>0.73684210526315796</v>
      </c>
      <c r="Y30" s="302">
        <f t="shared" si="57"/>
        <v>-0.13157894736842102</v>
      </c>
      <c r="Z30" s="53">
        <f t="shared" si="58"/>
        <v>0.39199999999999985</v>
      </c>
      <c r="AA30" s="45">
        <f t="shared" si="59"/>
        <v>2.6884301488238102E-2</v>
      </c>
      <c r="AB30" s="46">
        <f t="shared" si="60"/>
        <v>0.232704402515723</v>
      </c>
      <c r="AC30" s="52">
        <f t="shared" si="61"/>
        <v>0.18787878787878731</v>
      </c>
      <c r="AD30" s="341">
        <f>AD32+AD31</f>
        <v>1.3819999999999999</v>
      </c>
      <c r="AE30" s="36">
        <f t="shared" si="62"/>
        <v>2.9106379393862805E-2</v>
      </c>
      <c r="AF30" s="325">
        <f t="shared" si="63"/>
        <v>0.61072261072261069</v>
      </c>
      <c r="AG30" s="53">
        <f>AG32+AG31</f>
        <v>0.51800000000000002</v>
      </c>
      <c r="AH30" s="36">
        <f t="shared" si="64"/>
        <v>3.1995058678196416E-2</v>
      </c>
      <c r="AI30" s="46">
        <f t="shared" si="65"/>
        <v>0.84999999999999987</v>
      </c>
      <c r="AJ30" s="302">
        <f t="shared" si="66"/>
        <v>0.32142857142857206</v>
      </c>
      <c r="AK30" s="53">
        <f>AK32+AK31</f>
        <v>0.89699999999999991</v>
      </c>
      <c r="AL30" s="36">
        <f t="shared" si="67"/>
        <v>4.1602894114373172E-2</v>
      </c>
      <c r="AM30" s="46">
        <f t="shared" si="68"/>
        <v>1.3605263157894734</v>
      </c>
      <c r="AN30" s="302">
        <f t="shared" si="125"/>
        <v>0.73166023166023142</v>
      </c>
      <c r="AO30" s="53">
        <f>2.22305-AG30-AK30</f>
        <v>0.80805000000000027</v>
      </c>
      <c r="AP30" s="36">
        <f t="shared" si="69"/>
        <v>3.8367200580334493E-2</v>
      </c>
      <c r="AQ30" s="46">
        <f t="shared" si="70"/>
        <v>1.4486363636363642</v>
      </c>
      <c r="AR30" s="302">
        <f t="shared" si="126"/>
        <v>-9.9163879598661797E-2</v>
      </c>
      <c r="AS30" s="53">
        <f t="shared" si="127"/>
        <v>0.53594999999999993</v>
      </c>
      <c r="AT30" s="36">
        <f t="shared" si="71"/>
        <v>2.4012051590225503E-2</v>
      </c>
      <c r="AU30" s="46">
        <f t="shared" si="72"/>
        <v>0.36721938775510243</v>
      </c>
      <c r="AV30" s="52">
        <f t="shared" si="128"/>
        <v>-0.33673658808242091</v>
      </c>
      <c r="AW30" s="341">
        <v>2.7589999999999999</v>
      </c>
      <c r="AX30" s="36">
        <f t="shared" si="73"/>
        <v>3.4005891560770586E-2</v>
      </c>
      <c r="AY30" s="325">
        <f t="shared" si="129"/>
        <v>0.99638205499276422</v>
      </c>
      <c r="AZ30" s="204">
        <f>AZ32+AZ31</f>
        <v>0.31900000000000001</v>
      </c>
      <c r="BA30" s="36">
        <f t="shared" si="74"/>
        <v>1.4889148191365227E-2</v>
      </c>
      <c r="BB30" s="46">
        <f t="shared" si="75"/>
        <v>-0.38416988416988418</v>
      </c>
      <c r="BC30" s="302">
        <f t="shared" si="76"/>
        <v>-0.40479522343502183</v>
      </c>
      <c r="BD30" s="53">
        <f>BD32+BD31</f>
        <v>0.46101099999999995</v>
      </c>
      <c r="BE30" s="36">
        <f t="shared" si="77"/>
        <v>3.1588742205355493E-2</v>
      </c>
      <c r="BF30" s="46">
        <f t="shared" si="78"/>
        <v>-0.48605239687848389</v>
      </c>
      <c r="BG30" s="302">
        <f t="shared" si="79"/>
        <v>0.44517554858934161</v>
      </c>
      <c r="BH30" s="53">
        <f>BH32+BH31</f>
        <v>0.32017200000000012</v>
      </c>
      <c r="BI30" s="36">
        <f t="shared" si="80"/>
        <v>1.6364630538457745E-2</v>
      </c>
      <c r="BJ30" s="46">
        <f t="shared" si="81"/>
        <v>-0.60377204380917027</v>
      </c>
      <c r="BK30" s="302">
        <f t="shared" si="82"/>
        <v>-0.30550030259581629</v>
      </c>
      <c r="BL30" s="53">
        <f>BL32+BL31</f>
        <v>0.28781699999999999</v>
      </c>
      <c r="BM30" s="36">
        <f t="shared" si="83"/>
        <v>1.3786341665434446E-2</v>
      </c>
      <c r="BN30" s="46">
        <f t="shared" si="84"/>
        <v>-0.46297788972851939</v>
      </c>
      <c r="BO30" s="52">
        <f t="shared" si="85"/>
        <v>-0.1010550579063757</v>
      </c>
      <c r="BP30" s="341">
        <f>BP32+BP31</f>
        <v>1.3879999999999999</v>
      </c>
      <c r="BQ30" s="36">
        <f t="shared" si="86"/>
        <v>1.815304534337767E-2</v>
      </c>
      <c r="BR30" s="325">
        <f t="shared" si="87"/>
        <v>-0.49691917361362814</v>
      </c>
      <c r="BS30" s="204">
        <f>BS32+BS31</f>
        <v>0.22407500000000002</v>
      </c>
      <c r="BT30" s="36">
        <f t="shared" si="88"/>
        <v>1.0509804429225339E-2</v>
      </c>
      <c r="BU30" s="46">
        <f t="shared" si="89"/>
        <v>-0.2975705329153604</v>
      </c>
      <c r="BV30" s="302">
        <f t="shared" si="90"/>
        <v>-0.22146711278346998</v>
      </c>
      <c r="BW30" s="53">
        <f>0.401-BS30</f>
        <v>0.176925</v>
      </c>
      <c r="BX30" s="36">
        <f t="shared" si="91"/>
        <v>5.9998103663158487E-3</v>
      </c>
      <c r="BY30" s="46">
        <f t="shared" si="92"/>
        <v>-0.61622390788939962</v>
      </c>
      <c r="BZ30" s="302">
        <f t="shared" si="93"/>
        <v>-0.21042061809661949</v>
      </c>
      <c r="CA30" s="53">
        <f>CA31+CA32</f>
        <v>0.25907199999999997</v>
      </c>
      <c r="CB30" s="36">
        <f t="shared" si="94"/>
        <v>1.0594116076544157E-2</v>
      </c>
      <c r="CC30" s="46">
        <f t="shared" si="95"/>
        <v>-0.19083492622715337</v>
      </c>
      <c r="CD30" s="302">
        <f t="shared" si="96"/>
        <v>0.46430408365126441</v>
      </c>
      <c r="CE30" s="53">
        <v>0.48100000000000009</v>
      </c>
      <c r="CF30" s="36">
        <f t="shared" si="97"/>
        <v>1.8990593497107529E-2</v>
      </c>
      <c r="CG30" s="46">
        <f t="shared" si="98"/>
        <v>0.67120079772911301</v>
      </c>
      <c r="CH30" s="52">
        <f t="shared" si="99"/>
        <v>0.8566267292490124</v>
      </c>
      <c r="CI30" s="341">
        <f>CI32+CI31</f>
        <v>1.1419999999999999</v>
      </c>
      <c r="CJ30" s="36">
        <f t="shared" si="100"/>
        <v>1.1352678615808257E-2</v>
      </c>
      <c r="CK30" s="325">
        <f t="shared" si="101"/>
        <v>-0.17723342939481268</v>
      </c>
      <c r="CL30" s="204">
        <f>CL32+CL31</f>
        <v>0.57599999999999996</v>
      </c>
      <c r="CM30" s="36">
        <f t="shared" si="102"/>
        <v>1.6277623919064038E-2</v>
      </c>
      <c r="CN30" s="46">
        <f t="shared" si="103"/>
        <v>1.5705678902153291</v>
      </c>
      <c r="CO30" s="302">
        <f t="shared" si="104"/>
        <v>0.19750519750519713</v>
      </c>
      <c r="CP30" s="53">
        <v>0.7</v>
      </c>
      <c r="CQ30" s="36">
        <f t="shared" si="105"/>
        <v>2.1406073208770374E-2</v>
      </c>
      <c r="CR30" s="46">
        <f t="shared" si="106"/>
        <v>2.9564787339268048</v>
      </c>
      <c r="CS30" s="302">
        <f t="shared" si="107"/>
        <v>0.2152777777777779</v>
      </c>
      <c r="CT30" s="53">
        <f>CT31+CT32</f>
        <v>0.43400000000000005</v>
      </c>
      <c r="CU30" s="36">
        <f t="shared" si="108"/>
        <v>1.3047530288909601E-2</v>
      </c>
      <c r="CV30" s="46">
        <f t="shared" si="109"/>
        <v>0.67520998023715451</v>
      </c>
      <c r="CW30" s="302">
        <f t="shared" si="110"/>
        <v>-0.37999999999999989</v>
      </c>
      <c r="CX30" s="53">
        <f>CX31+CX32</f>
        <v>0.255</v>
      </c>
      <c r="CY30" s="36">
        <f t="shared" si="111"/>
        <v>6.302676783904693E-3</v>
      </c>
      <c r="CZ30" s="46">
        <f t="shared" si="112"/>
        <v>-0.46985446985446999</v>
      </c>
      <c r="DA30" s="52">
        <f t="shared" si="113"/>
        <v>-0.4124423963133641</v>
      </c>
      <c r="DB30" s="341">
        <f>DB32+DB31</f>
        <v>1.9550000000000001</v>
      </c>
      <c r="DC30" s="36">
        <f t="shared" si="114"/>
        <v>1.3787121206778609E-2</v>
      </c>
      <c r="DD30" s="325">
        <f t="shared" si="115"/>
        <v>0.71190893169877434</v>
      </c>
      <c r="DE30" s="204">
        <f>DE32+DE31</f>
        <v>0.27639999999999998</v>
      </c>
      <c r="DF30" s="36">
        <f t="shared" si="116"/>
        <v>7.0921257902947692E-3</v>
      </c>
      <c r="DG30" s="46">
        <f t="shared" si="117"/>
        <v>-0.52013888888888893</v>
      </c>
      <c r="DH30" s="302">
        <f t="shared" si="118"/>
        <v>8.3921568627450815E-2</v>
      </c>
      <c r="DI30" s="53">
        <f>DI31+DI32</f>
        <v>0.24</v>
      </c>
      <c r="DJ30" s="36">
        <f t="shared" si="119"/>
        <v>5.2293278134873077E-3</v>
      </c>
      <c r="DK30" s="46">
        <f t="shared" si="120"/>
        <v>-0.65714285714285714</v>
      </c>
      <c r="DL30" s="302">
        <f t="shared" si="121"/>
        <v>-0.13169319826338632</v>
      </c>
      <c r="DM30" s="53">
        <f>DM31+DM32</f>
        <v>0.63900000000000001</v>
      </c>
      <c r="DN30" s="36">
        <f t="shared" si="122"/>
        <v>1.3244895844128924E-2</v>
      </c>
      <c r="DO30" s="46">
        <f t="shared" si="123"/>
        <v>0.47235023041474644</v>
      </c>
      <c r="DP30" s="302">
        <f t="shared" si="124"/>
        <v>1.6625000000000001</v>
      </c>
      <c r="DQ30" s="53"/>
      <c r="DR30" s="36"/>
      <c r="DS30" s="46"/>
      <c r="DT30" s="52"/>
      <c r="DU30" s="341"/>
      <c r="DV30" s="36"/>
      <c r="DW30" s="325"/>
    </row>
    <row r="31" spans="1:127" s="6" customFormat="1" ht="16.95" customHeight="1" x14ac:dyDescent="0.4">
      <c r="A31" s="41" t="s">
        <v>40</v>
      </c>
      <c r="B31" s="216"/>
      <c r="C31" s="241"/>
      <c r="D31" s="242"/>
      <c r="E31" s="241"/>
      <c r="F31" s="242"/>
      <c r="G31" s="257">
        <v>0.18</v>
      </c>
      <c r="H31" s="42">
        <v>0.09</v>
      </c>
      <c r="I31" s="42">
        <v>0.04</v>
      </c>
      <c r="J31" s="296">
        <f>0.47-G31-H31-I31</f>
        <v>0.15999999999999998</v>
      </c>
      <c r="K31" s="339">
        <f t="shared" si="47"/>
        <v>0.47</v>
      </c>
      <c r="L31" s="56">
        <f t="shared" si="48"/>
        <v>1.3478634929739029E-2</v>
      </c>
      <c r="M31" s="242"/>
      <c r="N31" s="268">
        <v>0.18</v>
      </c>
      <c r="O31" s="55">
        <f t="shared" si="49"/>
        <v>1.8311291963377416E-2</v>
      </c>
      <c r="P31" s="54">
        <f t="shared" si="50"/>
        <v>0</v>
      </c>
      <c r="Q31" s="367">
        <f t="shared" si="51"/>
        <v>0.12500000000000022</v>
      </c>
      <c r="R31" s="268">
        <v>0.26</v>
      </c>
      <c r="S31" s="55">
        <f t="shared" si="52"/>
        <v>2.2687609075043629E-2</v>
      </c>
      <c r="T31" s="54">
        <f t="shared" si="53"/>
        <v>1.8888888888888893</v>
      </c>
      <c r="U31" s="308">
        <f>R31/N31-1</f>
        <v>0.44444444444444464</v>
      </c>
      <c r="V31" s="205">
        <v>0.21</v>
      </c>
      <c r="W31" s="55">
        <f t="shared" si="55"/>
        <v>1.8087855297157621E-2</v>
      </c>
      <c r="X31" s="54">
        <f t="shared" si="56"/>
        <v>4.25</v>
      </c>
      <c r="Y31" s="315">
        <f>V31/R31-1</f>
        <v>-0.1923076923076924</v>
      </c>
      <c r="Z31" s="195">
        <f t="shared" si="58"/>
        <v>0.30899999999999994</v>
      </c>
      <c r="AA31" s="55">
        <f t="shared" si="59"/>
        <v>2.1191962142514221E-2</v>
      </c>
      <c r="AB31" s="54">
        <f t="shared" si="60"/>
        <v>0.93124999999999991</v>
      </c>
      <c r="AC31" s="85">
        <f>Z31/V31-1</f>
        <v>0.47142857142857131</v>
      </c>
      <c r="AD31" s="339">
        <v>0.95899999999999996</v>
      </c>
      <c r="AE31" s="56">
        <f t="shared" si="62"/>
        <v>2.0197552705292641E-2</v>
      </c>
      <c r="AF31" s="340">
        <f t="shared" si="63"/>
        <v>1.0404255319148938</v>
      </c>
      <c r="AG31" s="195">
        <v>0.36099999999999999</v>
      </c>
      <c r="AH31" s="56">
        <f t="shared" si="64"/>
        <v>2.2297714638665842E-2</v>
      </c>
      <c r="AI31" s="54">
        <f t="shared" si="65"/>
        <v>1.0055555555555555</v>
      </c>
      <c r="AJ31" s="315">
        <f t="shared" si="66"/>
        <v>0.16828478964401317</v>
      </c>
      <c r="AK31" s="195">
        <f>0.826-AG31</f>
        <v>0.46499999999999997</v>
      </c>
      <c r="AL31" s="56">
        <f t="shared" si="67"/>
        <v>2.1566717684708501E-2</v>
      </c>
      <c r="AM31" s="54">
        <f t="shared" si="68"/>
        <v>0.78846153846153832</v>
      </c>
      <c r="AN31" s="315">
        <f>AK31/AG31-1</f>
        <v>0.28808864265927969</v>
      </c>
      <c r="AO31" s="195">
        <f>1.173338-AG31-AK31</f>
        <v>0.34733800000000004</v>
      </c>
      <c r="AP31" s="56">
        <f t="shared" si="69"/>
        <v>1.6492032318757774E-2</v>
      </c>
      <c r="AQ31" s="54">
        <f t="shared" si="70"/>
        <v>0.65399047619047646</v>
      </c>
      <c r="AR31" s="315">
        <f>AO31/AK31-1</f>
        <v>-0.25303655913978484</v>
      </c>
      <c r="AS31" s="195">
        <f>AW31-AO31-AK31-AG31</f>
        <v>0.29266200000000009</v>
      </c>
      <c r="AT31" s="89">
        <f t="shared" si="71"/>
        <v>1.3112072100939601E-2</v>
      </c>
      <c r="AU31" s="54">
        <f t="shared" si="72"/>
        <v>-5.2873786407766521E-2</v>
      </c>
      <c r="AV31" s="85">
        <f>AS31/AO31-1</f>
        <v>-0.15741439174521632</v>
      </c>
      <c r="AW31" s="339">
        <v>1.466</v>
      </c>
      <c r="AX31" s="56">
        <f t="shared" si="73"/>
        <v>1.8069096421924495E-2</v>
      </c>
      <c r="AY31" s="340">
        <f>AW31/AD31-1</f>
        <v>0.52867570385818574</v>
      </c>
      <c r="AZ31" s="190">
        <v>0.22900000000000001</v>
      </c>
      <c r="BA31" s="56">
        <f t="shared" si="74"/>
        <v>1.0688448074679113E-2</v>
      </c>
      <c r="BB31" s="54">
        <f>AZ31/AG31-1</f>
        <v>-0.36565096952908582</v>
      </c>
      <c r="BC31" s="315">
        <f>AZ31/AS31-1</f>
        <v>-0.2175273865414713</v>
      </c>
      <c r="BD31" s="195">
        <f>0.491976-AZ31</f>
        <v>0.26297599999999999</v>
      </c>
      <c r="BE31" s="56">
        <f t="shared" si="77"/>
        <v>1.8019268672972159E-2</v>
      </c>
      <c r="BF31" s="54">
        <f>BD31/AK31-1</f>
        <v>-0.43446021505376342</v>
      </c>
      <c r="BG31" s="315">
        <f>BD31/AZ31-1</f>
        <v>0.14836681222707404</v>
      </c>
      <c r="BH31" s="195">
        <f>0.658796-AZ31-BD31</f>
        <v>0.16682000000000008</v>
      </c>
      <c r="BI31" s="56">
        <f t="shared" si="80"/>
        <v>8.526503461968947E-3</v>
      </c>
      <c r="BJ31" s="54">
        <f t="shared" si="81"/>
        <v>-0.51971854504833892</v>
      </c>
      <c r="BK31" s="315">
        <f t="shared" si="82"/>
        <v>-0.36564553419323398</v>
      </c>
      <c r="BL31" s="195">
        <f>BP31-AZ31-BD31-BH31</f>
        <v>0.13820399999999999</v>
      </c>
      <c r="BM31" s="89">
        <f t="shared" si="83"/>
        <v>6.6199271187237108E-3</v>
      </c>
      <c r="BN31" s="54">
        <f t="shared" si="84"/>
        <v>-0.5277692355003385</v>
      </c>
      <c r="BO31" s="85">
        <f t="shared" si="85"/>
        <v>-0.17153818486992012</v>
      </c>
      <c r="BP31" s="339">
        <v>0.79700000000000004</v>
      </c>
      <c r="BQ31" s="56">
        <f t="shared" si="86"/>
        <v>1.0423614653221905E-2</v>
      </c>
      <c r="BR31" s="340">
        <f t="shared" si="87"/>
        <v>-0.45634379263301494</v>
      </c>
      <c r="BS31" s="190">
        <v>8.7656999999999999E-2</v>
      </c>
      <c r="BT31" s="56">
        <f t="shared" si="88"/>
        <v>4.1113820232181429E-3</v>
      </c>
      <c r="BU31" s="54">
        <f t="shared" si="89"/>
        <v>-0.61721834061135372</v>
      </c>
      <c r="BV31" s="315">
        <f t="shared" si="90"/>
        <v>-0.36574194668750537</v>
      </c>
      <c r="BW31" s="195">
        <f>0.152346-BS31</f>
        <v>6.468900000000001E-2</v>
      </c>
      <c r="BX31" s="56">
        <f t="shared" si="91"/>
        <v>2.1937076884928981E-3</v>
      </c>
      <c r="BY31" s="54">
        <f t="shared" si="92"/>
        <v>-0.75401177293745425</v>
      </c>
      <c r="BZ31" s="315">
        <f t="shared" si="93"/>
        <v>-0.26202128751839548</v>
      </c>
      <c r="CA31" s="195">
        <f>0.235-BW31-BS31</f>
        <v>8.2653999999999991E-2</v>
      </c>
      <c r="CB31" s="56">
        <f t="shared" si="94"/>
        <v>3.3799332625319631E-3</v>
      </c>
      <c r="CC31" s="54">
        <f t="shared" si="95"/>
        <v>-0.50453183071574181</v>
      </c>
      <c r="CD31" s="315">
        <f t="shared" si="96"/>
        <v>0.27771336703303473</v>
      </c>
      <c r="CE31" s="195">
        <v>0.23399999999999999</v>
      </c>
      <c r="CF31" s="89">
        <f t="shared" si="97"/>
        <v>9.2386671067009579E-3</v>
      </c>
      <c r="CG31" s="54">
        <f t="shared" si="98"/>
        <v>0.69314925761917157</v>
      </c>
      <c r="CH31" s="85">
        <f t="shared" si="99"/>
        <v>1.8310789556464298</v>
      </c>
      <c r="CI31" s="339">
        <f>BS31+BW31+CA31+CE31</f>
        <v>0.46899999999999997</v>
      </c>
      <c r="CJ31" s="56">
        <f t="shared" si="100"/>
        <v>4.6623522511506765E-3</v>
      </c>
      <c r="CK31" s="340">
        <f t="shared" si="101"/>
        <v>-0.41154328732747814</v>
      </c>
      <c r="CL31" s="190">
        <v>0.36499999999999999</v>
      </c>
      <c r="CM31" s="56">
        <f t="shared" si="102"/>
        <v>1.03148137681569E-2</v>
      </c>
      <c r="CN31" s="54">
        <f t="shared" si="103"/>
        <v>3.1639572424335762</v>
      </c>
      <c r="CO31" s="315">
        <f t="shared" si="104"/>
        <v>0.55982905982905984</v>
      </c>
      <c r="CP31" s="195">
        <v>0.45200000000000001</v>
      </c>
      <c r="CQ31" s="56">
        <f t="shared" si="105"/>
        <v>1.3822207271948871E-2</v>
      </c>
      <c r="CR31" s="54">
        <f t="shared" si="106"/>
        <v>5.9872775896984018</v>
      </c>
      <c r="CS31" s="315">
        <f t="shared" si="107"/>
        <v>0.23835616438356166</v>
      </c>
      <c r="CT31" s="195">
        <v>0.159</v>
      </c>
      <c r="CU31" s="56">
        <f t="shared" si="108"/>
        <v>4.7800859814207978E-3</v>
      </c>
      <c r="CV31" s="54">
        <f t="shared" si="109"/>
        <v>0.92368185447770257</v>
      </c>
      <c r="CW31" s="315">
        <f t="shared" si="110"/>
        <v>-0.64823008849557517</v>
      </c>
      <c r="CX31" s="195">
        <v>8.8999999999999996E-2</v>
      </c>
      <c r="CY31" s="89">
        <f t="shared" si="111"/>
        <v>2.1997577794804616E-3</v>
      </c>
      <c r="CZ31" s="54">
        <f t="shared" si="112"/>
        <v>-0.61965811965811968</v>
      </c>
      <c r="DA31" s="85">
        <f t="shared" si="113"/>
        <v>-0.44025157232704404</v>
      </c>
      <c r="DB31" s="339">
        <f>CL31+CP31+CT31+CX31</f>
        <v>1.0649999999999999</v>
      </c>
      <c r="DC31" s="56">
        <f t="shared" si="114"/>
        <v>7.5106312456364281E-3</v>
      </c>
      <c r="DD31" s="340">
        <f t="shared" si="115"/>
        <v>1.2707889125799574</v>
      </c>
      <c r="DE31" s="190">
        <v>6.3700000000000007E-2</v>
      </c>
      <c r="DF31" s="56">
        <f t="shared" si="116"/>
        <v>1.634473273667789E-3</v>
      </c>
      <c r="DG31" s="54">
        <f t="shared" si="117"/>
        <v>-0.82547945205479456</v>
      </c>
      <c r="DH31" s="315">
        <f t="shared" si="118"/>
        <v>-0.28426966292134825</v>
      </c>
      <c r="DI31" s="195">
        <v>3.2000000000000001E-2</v>
      </c>
      <c r="DJ31" s="56">
        <f t="shared" si="119"/>
        <v>6.9724370846497435E-4</v>
      </c>
      <c r="DK31" s="54">
        <f t="shared" si="120"/>
        <v>-0.92920353982300885</v>
      </c>
      <c r="DL31" s="315">
        <f t="shared" si="121"/>
        <v>-0.49764521193092626</v>
      </c>
      <c r="DM31" s="195">
        <v>0.27800000000000002</v>
      </c>
      <c r="DN31" s="56">
        <f t="shared" si="122"/>
        <v>5.7622551559747123E-3</v>
      </c>
      <c r="DO31" s="54">
        <f t="shared" si="123"/>
        <v>0.7484276729559749</v>
      </c>
      <c r="DP31" s="315">
        <f t="shared" si="124"/>
        <v>7.6875</v>
      </c>
      <c r="DQ31" s="195"/>
      <c r="DR31" s="89"/>
      <c r="DS31" s="54"/>
      <c r="DT31" s="85"/>
      <c r="DU31" s="339"/>
      <c r="DV31" s="56"/>
      <c r="DW31" s="340"/>
    </row>
    <row r="32" spans="1:127" s="6" customFormat="1" ht="16.95" customHeight="1" x14ac:dyDescent="0.4">
      <c r="A32" s="41" t="s">
        <v>41</v>
      </c>
      <c r="B32" s="216"/>
      <c r="C32" s="241"/>
      <c r="D32" s="242"/>
      <c r="E32" s="241"/>
      <c r="F32" s="242"/>
      <c r="G32" s="257">
        <v>0.03</v>
      </c>
      <c r="H32" s="42">
        <v>0.05</v>
      </c>
      <c r="I32" s="42">
        <v>0.15</v>
      </c>
      <c r="J32" s="296">
        <f>0.388-G32-H32-I32</f>
        <v>0.158</v>
      </c>
      <c r="K32" s="339">
        <f t="shared" si="47"/>
        <v>0.38800000000000001</v>
      </c>
      <c r="L32" s="56">
        <f t="shared" si="48"/>
        <v>1.1127043303699454E-2</v>
      </c>
      <c r="M32" s="242"/>
      <c r="N32" s="42">
        <v>0.1</v>
      </c>
      <c r="O32" s="55">
        <f t="shared" si="49"/>
        <v>1.0172939979654121E-2</v>
      </c>
      <c r="P32" s="54">
        <f t="shared" si="50"/>
        <v>2.3333333333333335</v>
      </c>
      <c r="Q32" s="367">
        <f t="shared" si="51"/>
        <v>-0.36708860759493667</v>
      </c>
      <c r="R32" s="42">
        <v>0.12</v>
      </c>
      <c r="S32" s="55">
        <f t="shared" si="52"/>
        <v>1.0471204188481674E-2</v>
      </c>
      <c r="T32" s="54">
        <f t="shared" si="53"/>
        <v>1.4</v>
      </c>
      <c r="U32" s="308">
        <f t="shared" si="54"/>
        <v>0.19999999999999996</v>
      </c>
      <c r="V32" s="205">
        <v>0.12</v>
      </c>
      <c r="W32" s="55">
        <f t="shared" si="55"/>
        <v>1.0335917312661499E-2</v>
      </c>
      <c r="X32" s="54">
        <f t="shared" si="56"/>
        <v>-0.19999999999999996</v>
      </c>
      <c r="Y32" s="315">
        <f t="shared" si="57"/>
        <v>0</v>
      </c>
      <c r="Z32" s="195">
        <f t="shared" si="58"/>
        <v>8.2999999999999963E-2</v>
      </c>
      <c r="AA32" s="55">
        <f t="shared" si="59"/>
        <v>5.6923393457238838E-3</v>
      </c>
      <c r="AB32" s="54">
        <f t="shared" si="60"/>
        <v>-0.47468354430379767</v>
      </c>
      <c r="AC32" s="85">
        <f t="shared" si="61"/>
        <v>-0.30833333333333357</v>
      </c>
      <c r="AD32" s="339">
        <v>0.42299999999999999</v>
      </c>
      <c r="AE32" s="56">
        <f t="shared" si="62"/>
        <v>8.9088266885701643E-3</v>
      </c>
      <c r="AF32" s="340">
        <f t="shared" si="63"/>
        <v>9.0206185567010211E-2</v>
      </c>
      <c r="AG32" s="195">
        <v>0.157</v>
      </c>
      <c r="AH32" s="56">
        <f t="shared" si="64"/>
        <v>9.6973440395305734E-3</v>
      </c>
      <c r="AI32" s="54">
        <f t="shared" si="65"/>
        <v>0.56999999999999984</v>
      </c>
      <c r="AJ32" s="315">
        <f t="shared" si="66"/>
        <v>0.89156626506024184</v>
      </c>
      <c r="AK32" s="195">
        <f>0.589-AG32</f>
        <v>0.43199999999999994</v>
      </c>
      <c r="AL32" s="56">
        <f t="shared" si="67"/>
        <v>2.0036176429664671E-2</v>
      </c>
      <c r="AM32" s="54">
        <f t="shared" si="68"/>
        <v>2.5999999999999996</v>
      </c>
      <c r="AN32" s="315">
        <f t="shared" si="125"/>
        <v>1.7515923566878975</v>
      </c>
      <c r="AO32" s="195">
        <f>1.049712-AG32-AK32</f>
        <v>0.46071200000000001</v>
      </c>
      <c r="AP32" s="56">
        <f t="shared" si="69"/>
        <v>2.1875168261576709E-2</v>
      </c>
      <c r="AQ32" s="54">
        <f t="shared" si="70"/>
        <v>2.839266666666667</v>
      </c>
      <c r="AR32" s="315">
        <f t="shared" si="126"/>
        <v>6.6462962962963168E-2</v>
      </c>
      <c r="AS32" s="195">
        <f t="shared" si="127"/>
        <v>0.24428800000000009</v>
      </c>
      <c r="AT32" s="89">
        <f t="shared" si="71"/>
        <v>1.0944782272363113E-2</v>
      </c>
      <c r="AU32" s="54">
        <f t="shared" si="72"/>
        <v>1.9432289156626532</v>
      </c>
      <c r="AV32" s="85">
        <f t="shared" si="128"/>
        <v>-0.46975984997134856</v>
      </c>
      <c r="AW32" s="339">
        <v>1.294</v>
      </c>
      <c r="AX32" s="56">
        <f t="shared" si="73"/>
        <v>1.5949120579788742E-2</v>
      </c>
      <c r="AY32" s="340">
        <f t="shared" si="129"/>
        <v>2.0591016548463359</v>
      </c>
      <c r="AZ32" s="190">
        <v>0.09</v>
      </c>
      <c r="BA32" s="56">
        <f t="shared" si="74"/>
        <v>4.2007001166861138E-3</v>
      </c>
      <c r="BB32" s="54">
        <f t="shared" si="75"/>
        <v>-0.42675159235668791</v>
      </c>
      <c r="BC32" s="315">
        <f t="shared" si="76"/>
        <v>-0.63158239455069443</v>
      </c>
      <c r="BD32" s="195">
        <f>0.288035-AZ32</f>
        <v>0.19803499999999999</v>
      </c>
      <c r="BE32" s="56">
        <f t="shared" si="77"/>
        <v>1.3569473532383339E-2</v>
      </c>
      <c r="BF32" s="54">
        <f t="shared" si="78"/>
        <v>-0.54158564814814814</v>
      </c>
      <c r="BG32" s="315">
        <f t="shared" si="79"/>
        <v>1.2003888888888889</v>
      </c>
      <c r="BH32" s="195">
        <f>0.441387-AZ32-BD32</f>
        <v>0.15335200000000002</v>
      </c>
      <c r="BI32" s="56">
        <f t="shared" si="80"/>
        <v>7.8381270764887982E-3</v>
      </c>
      <c r="BJ32" s="54">
        <f t="shared" si="81"/>
        <v>-0.66714129434440594</v>
      </c>
      <c r="BK32" s="315">
        <f t="shared" si="82"/>
        <v>-0.22563183275683574</v>
      </c>
      <c r="BL32" s="195">
        <f>BP32-AZ32-BD32-BH32</f>
        <v>0.14961300000000002</v>
      </c>
      <c r="BM32" s="89">
        <f t="shared" si="83"/>
        <v>7.1664145467107369E-3</v>
      </c>
      <c r="BN32" s="54">
        <f t="shared" si="84"/>
        <v>-0.38755485328792261</v>
      </c>
      <c r="BO32" s="85">
        <f t="shared" si="85"/>
        <v>-2.4381814387813616E-2</v>
      </c>
      <c r="BP32" s="339">
        <v>0.59099999999999997</v>
      </c>
      <c r="BQ32" s="56">
        <f t="shared" si="86"/>
        <v>7.7294306901557657E-3</v>
      </c>
      <c r="BR32" s="340">
        <f t="shared" si="87"/>
        <v>-0.54327666151468312</v>
      </c>
      <c r="BS32" s="190">
        <v>0.13641800000000001</v>
      </c>
      <c r="BT32" s="56">
        <f t="shared" si="88"/>
        <v>6.3984224060071948E-3</v>
      </c>
      <c r="BU32" s="54">
        <f t="shared" si="89"/>
        <v>0.51575555555555574</v>
      </c>
      <c r="BV32" s="315">
        <f t="shared" si="90"/>
        <v>-8.8194207722591011E-2</v>
      </c>
      <c r="BW32" s="195">
        <f>0.249582-BS32</f>
        <v>0.11316399999999999</v>
      </c>
      <c r="BX32" s="56">
        <f t="shared" si="91"/>
        <v>3.8375726454360133E-3</v>
      </c>
      <c r="BY32" s="54">
        <f t="shared" si="92"/>
        <v>-0.42856565758578036</v>
      </c>
      <c r="BZ32" s="315">
        <f t="shared" si="93"/>
        <v>-0.17046137606474232</v>
      </c>
      <c r="CA32" s="195">
        <f>0.426-BW32-BS32</f>
        <v>0.17641799999999999</v>
      </c>
      <c r="CB32" s="56">
        <f t="shared" si="94"/>
        <v>7.214182814012194E-3</v>
      </c>
      <c r="CC32" s="54">
        <f t="shared" si="95"/>
        <v>0.15041212374145729</v>
      </c>
      <c r="CD32" s="315">
        <f t="shared" si="96"/>
        <v>0.55895867943869093</v>
      </c>
      <c r="CE32" s="195">
        <v>0.24700000000000008</v>
      </c>
      <c r="CF32" s="89">
        <f t="shared" si="97"/>
        <v>9.7519263904065692E-3</v>
      </c>
      <c r="CG32" s="54">
        <f t="shared" si="98"/>
        <v>0.65092605589086538</v>
      </c>
      <c r="CH32" s="85">
        <f t="shared" si="99"/>
        <v>0.40008389166638381</v>
      </c>
      <c r="CI32" s="339">
        <f>BS32+BW32+CA32+CE32</f>
        <v>0.67300000000000004</v>
      </c>
      <c r="CJ32" s="56">
        <f t="shared" si="100"/>
        <v>6.690326364657581E-3</v>
      </c>
      <c r="CK32" s="340">
        <f t="shared" si="101"/>
        <v>0.13874788494077839</v>
      </c>
      <c r="CL32" s="190">
        <v>0.21099999999999999</v>
      </c>
      <c r="CM32" s="56">
        <f t="shared" si="102"/>
        <v>5.962810150907139E-3</v>
      </c>
      <c r="CN32" s="54">
        <f t="shared" si="103"/>
        <v>0.54671670893870283</v>
      </c>
      <c r="CO32" s="315">
        <f t="shared" si="104"/>
        <v>-0.14574898785425128</v>
      </c>
      <c r="CP32" s="195">
        <v>0.23799999999999999</v>
      </c>
      <c r="CQ32" s="56">
        <f t="shared" si="105"/>
        <v>7.278064890981927E-3</v>
      </c>
      <c r="CR32" s="54">
        <f t="shared" si="106"/>
        <v>1.1031423420875899</v>
      </c>
      <c r="CS32" s="315">
        <f t="shared" si="107"/>
        <v>0.12796208530805675</v>
      </c>
      <c r="CT32" s="195">
        <v>0.27500000000000002</v>
      </c>
      <c r="CU32" s="56">
        <f t="shared" si="108"/>
        <v>8.2674443074888023E-3</v>
      </c>
      <c r="CV32" s="54">
        <f t="shared" si="109"/>
        <v>0.5587978550941517</v>
      </c>
      <c r="CW32" s="315">
        <f t="shared" si="110"/>
        <v>0.15546218487394969</v>
      </c>
      <c r="CX32" s="195">
        <v>0.16600000000000001</v>
      </c>
      <c r="CY32" s="89">
        <f t="shared" si="111"/>
        <v>4.1029190044242318E-3</v>
      </c>
      <c r="CZ32" s="54">
        <f t="shared" si="112"/>
        <v>-0.32793522267206499</v>
      </c>
      <c r="DA32" s="85">
        <f t="shared" si="113"/>
        <v>-0.39636363636363636</v>
      </c>
      <c r="DB32" s="339">
        <f>CL32+CP32+CT32+CX32</f>
        <v>0.89</v>
      </c>
      <c r="DC32" s="56">
        <f t="shared" si="114"/>
        <v>6.2764899611421803E-3</v>
      </c>
      <c r="DD32" s="340">
        <f t="shared" si="115"/>
        <v>0.32243684992570576</v>
      </c>
      <c r="DE32" s="190">
        <v>0.2127</v>
      </c>
      <c r="DF32" s="56">
        <f t="shared" si="116"/>
        <v>5.4576525166269811E-3</v>
      </c>
      <c r="DG32" s="54">
        <f t="shared" si="117"/>
        <v>8.0568720379148306E-3</v>
      </c>
      <c r="DH32" s="315">
        <f t="shared" si="118"/>
        <v>0.28132530120481913</v>
      </c>
      <c r="DI32" s="195">
        <v>0.20799999999999999</v>
      </c>
      <c r="DJ32" s="56">
        <f t="shared" si="119"/>
        <v>4.5320841050223333E-3</v>
      </c>
      <c r="DK32" s="54">
        <f t="shared" si="120"/>
        <v>-0.12605042016806722</v>
      </c>
      <c r="DL32" s="315">
        <f t="shared" si="121"/>
        <v>-2.2096850023507364E-2</v>
      </c>
      <c r="DM32" s="195">
        <v>0.36099999999999999</v>
      </c>
      <c r="DN32" s="56">
        <f t="shared" si="122"/>
        <v>7.482640688154212E-3</v>
      </c>
      <c r="DO32" s="54">
        <f t="shared" si="123"/>
        <v>0.31272727272727252</v>
      </c>
      <c r="DP32" s="315">
        <f t="shared" si="124"/>
        <v>0.73557692307692313</v>
      </c>
      <c r="DQ32" s="195"/>
      <c r="DR32" s="89"/>
      <c r="DS32" s="54"/>
      <c r="DT32" s="85"/>
      <c r="DU32" s="339"/>
      <c r="DV32" s="56"/>
      <c r="DW32" s="340"/>
    </row>
    <row r="33" spans="1:127" s="6" customFormat="1" ht="16.95" customHeight="1" thickBot="1" x14ac:dyDescent="0.45">
      <c r="A33" s="105" t="s">
        <v>200</v>
      </c>
      <c r="B33" s="218"/>
      <c r="C33" s="244"/>
      <c r="D33" s="245"/>
      <c r="E33" s="244"/>
      <c r="F33" s="245"/>
      <c r="G33" s="259"/>
      <c r="H33" s="106"/>
      <c r="I33" s="106"/>
      <c r="J33" s="298"/>
      <c r="K33" s="342"/>
      <c r="L33" s="109">
        <f t="shared" si="48"/>
        <v>0</v>
      </c>
      <c r="M33" s="245"/>
      <c r="N33" s="106"/>
      <c r="O33" s="107"/>
      <c r="P33" s="108"/>
      <c r="Q33" s="369"/>
      <c r="R33" s="106"/>
      <c r="S33" s="107"/>
      <c r="T33" s="108"/>
      <c r="U33" s="310"/>
      <c r="V33" s="206"/>
      <c r="W33" s="107"/>
      <c r="X33" s="108"/>
      <c r="Y33" s="316"/>
      <c r="Z33" s="196"/>
      <c r="AA33" s="107"/>
      <c r="AB33" s="108"/>
      <c r="AC33" s="111"/>
      <c r="AD33" s="342"/>
      <c r="AE33" s="109"/>
      <c r="AF33" s="343"/>
      <c r="AG33" s="196"/>
      <c r="AH33" s="109"/>
      <c r="AI33" s="108"/>
      <c r="AJ33" s="316"/>
      <c r="AK33" s="196"/>
      <c r="AL33" s="109">
        <f t="shared" si="67"/>
        <v>0</v>
      </c>
      <c r="AM33" s="108"/>
      <c r="AN33" s="316"/>
      <c r="AO33" s="196"/>
      <c r="AP33" s="109"/>
      <c r="AQ33" s="108"/>
      <c r="AR33" s="316"/>
      <c r="AS33" s="196"/>
      <c r="AT33" s="110"/>
      <c r="AU33" s="108"/>
      <c r="AV33" s="111"/>
      <c r="AW33" s="342"/>
      <c r="AX33" s="109"/>
      <c r="AY33" s="343"/>
      <c r="AZ33" s="191"/>
      <c r="BA33" s="109"/>
      <c r="BB33" s="108"/>
      <c r="BC33" s="316"/>
      <c r="BD33" s="196"/>
      <c r="BE33" s="109"/>
      <c r="BF33" s="108"/>
      <c r="BG33" s="316"/>
      <c r="BH33" s="196"/>
      <c r="BI33" s="109"/>
      <c r="BJ33" s="108"/>
      <c r="BK33" s="316"/>
      <c r="BL33" s="196"/>
      <c r="BM33" s="110"/>
      <c r="BN33" s="108"/>
      <c r="BO33" s="111"/>
      <c r="BP33" s="342"/>
      <c r="BQ33" s="109"/>
      <c r="BR33" s="343"/>
      <c r="BS33" s="191"/>
      <c r="BT33" s="109"/>
      <c r="BU33" s="108"/>
      <c r="BV33" s="316"/>
      <c r="BW33" s="196"/>
      <c r="BX33" s="109"/>
      <c r="BY33" s="108"/>
      <c r="BZ33" s="316"/>
      <c r="CA33" s="196"/>
      <c r="CB33" s="109"/>
      <c r="CC33" s="108"/>
      <c r="CD33" s="316"/>
      <c r="CE33" s="196"/>
      <c r="CF33" s="110"/>
      <c r="CG33" s="108"/>
      <c r="CH33" s="111"/>
      <c r="CI33" s="342"/>
      <c r="CJ33" s="109"/>
      <c r="CK33" s="343"/>
      <c r="CL33" s="191">
        <v>0.51</v>
      </c>
      <c r="CM33" s="109">
        <f t="shared" si="102"/>
        <v>1.4412479511671284E-2</v>
      </c>
      <c r="CN33" s="108"/>
      <c r="CO33" s="316"/>
      <c r="CP33" s="196">
        <v>0.60099999999999998</v>
      </c>
      <c r="CQ33" s="109">
        <f t="shared" si="105"/>
        <v>1.8378642854958563E-2</v>
      </c>
      <c r="CR33" s="108"/>
      <c r="CS33" s="316">
        <f t="shared" si="107"/>
        <v>0.17843137254901964</v>
      </c>
      <c r="CT33" s="196">
        <v>0.52900000000000003</v>
      </c>
      <c r="CU33" s="109">
        <f t="shared" si="108"/>
        <v>1.5903556504223915E-2</v>
      </c>
      <c r="CV33" s="108" t="s">
        <v>32</v>
      </c>
      <c r="CW33" s="316">
        <f t="shared" si="110"/>
        <v>-0.11980033277870206</v>
      </c>
      <c r="CX33" s="196">
        <v>0.51100000000000001</v>
      </c>
      <c r="CY33" s="110">
        <f t="shared" si="111"/>
        <v>1.2630069947354111E-2</v>
      </c>
      <c r="CZ33" s="108" t="s">
        <v>32</v>
      </c>
      <c r="DA33" s="111">
        <f t="shared" si="113"/>
        <v>-3.4026465028355379E-2</v>
      </c>
      <c r="DB33" s="342">
        <f>CL33+CP33+CT33+CX33</f>
        <v>2.1510000000000002</v>
      </c>
      <c r="DC33" s="109">
        <f t="shared" si="114"/>
        <v>1.5169359445412169E-2</v>
      </c>
      <c r="DD33" s="343" t="s">
        <v>32</v>
      </c>
      <c r="DE33" s="191">
        <v>0.49099999999999999</v>
      </c>
      <c r="DF33" s="109">
        <f t="shared" si="116"/>
        <v>1.2598530256999753E-2</v>
      </c>
      <c r="DG33" s="108">
        <f t="shared" si="117"/>
        <v>-3.7254901960784292E-2</v>
      </c>
      <c r="DH33" s="316">
        <f t="shared" si="118"/>
        <v>-3.9138943248532287E-2</v>
      </c>
      <c r="DI33" s="196">
        <v>0.39300000000000002</v>
      </c>
      <c r="DJ33" s="109">
        <f t="shared" si="119"/>
        <v>8.5630242945854661E-3</v>
      </c>
      <c r="DK33" s="108"/>
      <c r="DL33" s="316">
        <f t="shared" si="121"/>
        <v>-0.19959266802443987</v>
      </c>
      <c r="DM33" s="196">
        <v>0.40200000000000002</v>
      </c>
      <c r="DN33" s="109">
        <f t="shared" si="122"/>
        <v>8.3324696859778218E-3</v>
      </c>
      <c r="DO33" s="108">
        <f t="shared" si="123"/>
        <v>-0.24007561436672964</v>
      </c>
      <c r="DP33" s="316">
        <f t="shared" si="124"/>
        <v>2.2900763358778553E-2</v>
      </c>
      <c r="DQ33" s="196"/>
      <c r="DR33" s="110"/>
      <c r="DS33" s="108"/>
      <c r="DT33" s="111"/>
      <c r="DU33" s="342"/>
      <c r="DV33" s="109"/>
      <c r="DW33" s="343"/>
    </row>
    <row r="34" spans="1:127" s="10" customFormat="1" ht="16.95" customHeight="1" x14ac:dyDescent="0.4">
      <c r="A34" s="104" t="s">
        <v>45</v>
      </c>
      <c r="B34" s="215"/>
      <c r="C34" s="239"/>
      <c r="D34" s="240"/>
      <c r="E34" s="239"/>
      <c r="F34" s="240"/>
      <c r="G34" s="256">
        <v>8.6199999999999992</v>
      </c>
      <c r="H34" s="38">
        <v>9.7100000000000009</v>
      </c>
      <c r="I34" s="38">
        <v>8.52</v>
      </c>
      <c r="J34" s="264">
        <f>34.868-G34-H34-I34</f>
        <v>8.0180000000000042</v>
      </c>
      <c r="K34" s="337">
        <f>G34+H34+I34+J34</f>
        <v>34.868000000000002</v>
      </c>
      <c r="L34" s="11">
        <f t="shared" si="48"/>
        <v>0.99994264410668188</v>
      </c>
      <c r="M34" s="240"/>
      <c r="N34" s="267">
        <v>9.83</v>
      </c>
      <c r="O34" s="39">
        <f>N34/$N$34</f>
        <v>1</v>
      </c>
      <c r="P34" s="40">
        <f>N34/G34-1</f>
        <v>0.1403712296983759</v>
      </c>
      <c r="Q34" s="366">
        <f t="shared" si="51"/>
        <v>0.22599151908206472</v>
      </c>
      <c r="R34" s="267">
        <v>11.46</v>
      </c>
      <c r="S34" s="39">
        <f>R34/$R$34</f>
        <v>1</v>
      </c>
      <c r="T34" s="40">
        <f>R34/H34-1</f>
        <v>0.18022657054582902</v>
      </c>
      <c r="U34" s="307">
        <f t="shared" si="54"/>
        <v>0.16581892166836232</v>
      </c>
      <c r="V34" s="194">
        <v>11.61</v>
      </c>
      <c r="W34" s="39">
        <f>V34/$V$34</f>
        <v>1</v>
      </c>
      <c r="X34" s="40">
        <f>V34/I34-1</f>
        <v>0.36267605633802824</v>
      </c>
      <c r="Y34" s="314">
        <f t="shared" si="57"/>
        <v>1.308900523560208E-2</v>
      </c>
      <c r="Z34" s="194">
        <f>AD34-N34-R34-V34</f>
        <v>14.581000000000003</v>
      </c>
      <c r="AA34" s="39">
        <f>Z34/$Z$34</f>
        <v>1</v>
      </c>
      <c r="AB34" s="40">
        <f>Z34/J34-1</f>
        <v>0.81853330007483116</v>
      </c>
      <c r="AC34" s="84">
        <f t="shared" si="61"/>
        <v>0.25590008613264459</v>
      </c>
      <c r="AD34" s="337">
        <f>AD36+AD35</f>
        <v>47.481000000000002</v>
      </c>
      <c r="AE34" s="11">
        <f>AD34/$AD$34</f>
        <v>1</v>
      </c>
      <c r="AF34" s="338">
        <f>AD34/K34-1</f>
        <v>0.36173568888379015</v>
      </c>
      <c r="AG34" s="194">
        <f>AG36+AG35</f>
        <v>16.190000000000001</v>
      </c>
      <c r="AH34" s="11">
        <f>AG34/$AG$34</f>
        <v>1</v>
      </c>
      <c r="AI34" s="40">
        <f>AG34/N34-1</f>
        <v>0.64699898270600209</v>
      </c>
      <c r="AJ34" s="314">
        <f>AG34/Z34-1</f>
        <v>0.11034908442493641</v>
      </c>
      <c r="AK34" s="194">
        <f>AK36+AK35</f>
        <v>21.562000000000001</v>
      </c>
      <c r="AL34" s="11">
        <f t="shared" si="67"/>
        <v>1.0000463800380317</v>
      </c>
      <c r="AM34" s="40">
        <f>AK34/R34-1</f>
        <v>0.88150087260034904</v>
      </c>
      <c r="AN34" s="314">
        <f t="shared" si="125"/>
        <v>0.33180975911056199</v>
      </c>
      <c r="AO34" s="194">
        <f>58.812958-AG34-AK34</f>
        <v>21.060957999999996</v>
      </c>
      <c r="AP34" s="11">
        <f>AO34/$AO$34</f>
        <v>1</v>
      </c>
      <c r="AQ34" s="40">
        <f>AO34/V34-1</f>
        <v>0.81403600344530558</v>
      </c>
      <c r="AR34" s="314">
        <f t="shared" si="126"/>
        <v>-2.3237269270012351E-2</v>
      </c>
      <c r="AS34" s="194">
        <f t="shared" si="127"/>
        <v>22.320041999999997</v>
      </c>
      <c r="AT34" s="11">
        <f>AS34/$AS$34</f>
        <v>1</v>
      </c>
      <c r="AU34" s="40">
        <f>AS34/Z34-1</f>
        <v>0.53076208764830901</v>
      </c>
      <c r="AV34" s="84">
        <f t="shared" si="128"/>
        <v>5.978284558565683E-2</v>
      </c>
      <c r="AW34" s="337">
        <v>81.132999999999996</v>
      </c>
      <c r="AX34" s="11">
        <f>AW34/$AW$34</f>
        <v>1</v>
      </c>
      <c r="AY34" s="338">
        <f t="shared" si="129"/>
        <v>0.70874665655735969</v>
      </c>
      <c r="AZ34" s="189">
        <f>AZ36+AZ35</f>
        <v>21.425000000000001</v>
      </c>
      <c r="BA34" s="11">
        <f>AZ34/$AZ$34</f>
        <v>1</v>
      </c>
      <c r="BB34" s="40">
        <f t="shared" si="75"/>
        <v>0.32334774552192713</v>
      </c>
      <c r="BC34" s="314">
        <f t="shared" si="76"/>
        <v>-4.0100372570983311E-2</v>
      </c>
      <c r="BD34" s="194">
        <f>BD36+BD35</f>
        <v>14.594155000000001</v>
      </c>
      <c r="BE34" s="11">
        <f>BD34/$BD$34</f>
        <v>1</v>
      </c>
      <c r="BF34" s="40">
        <f t="shared" si="78"/>
        <v>-0.32315392820703093</v>
      </c>
      <c r="BG34" s="314">
        <f t="shared" si="79"/>
        <v>-0.31882590431738622</v>
      </c>
      <c r="BH34" s="194">
        <f>BH36+BH35</f>
        <v>19.564878</v>
      </c>
      <c r="BI34" s="11">
        <f>BH34/$BH$34</f>
        <v>1</v>
      </c>
      <c r="BJ34" s="40">
        <f t="shared" si="81"/>
        <v>-7.1035705023484441E-2</v>
      </c>
      <c r="BK34" s="314">
        <f t="shared" si="82"/>
        <v>0.34059683482873782</v>
      </c>
      <c r="BL34" s="194">
        <f>BL36+BL35</f>
        <v>20.876967</v>
      </c>
      <c r="BM34" s="11">
        <f>BL34/$BL$34</f>
        <v>1</v>
      </c>
      <c r="BN34" s="40">
        <f t="shared" si="84"/>
        <v>-6.4653776189130707E-2</v>
      </c>
      <c r="BO34" s="84">
        <f t="shared" si="85"/>
        <v>6.7063489994673153E-2</v>
      </c>
      <c r="BP34" s="337">
        <f>BP36+BP35</f>
        <v>76.460999999999999</v>
      </c>
      <c r="BQ34" s="11">
        <f>BP34/$BP$34</f>
        <v>1</v>
      </c>
      <c r="BR34" s="338">
        <f t="shared" si="87"/>
        <v>-5.7584460084059486E-2</v>
      </c>
      <c r="BS34" s="189">
        <f>BS36+BS35</f>
        <v>21.320568000000002</v>
      </c>
      <c r="BT34" s="11">
        <f>BS34/$BS$34</f>
        <v>1</v>
      </c>
      <c r="BU34" s="40">
        <f>BS34/AZ34-1</f>
        <v>-4.8743057176195981E-3</v>
      </c>
      <c r="BV34" s="314">
        <f>BS34/BL34-1</f>
        <v>2.1248345125994605E-2</v>
      </c>
      <c r="BW34" s="194">
        <f>BW21+BW24+BW27+BW30</f>
        <v>29.488432</v>
      </c>
      <c r="BX34" s="11">
        <f>BW34/$BW$34</f>
        <v>1</v>
      </c>
      <c r="BY34" s="40">
        <f>BW34/BD34-1</f>
        <v>1.0205645342262022</v>
      </c>
      <c r="BZ34" s="314">
        <f>BW34/BS34-1</f>
        <v>0.38309786118268496</v>
      </c>
      <c r="CA34" s="194">
        <f>CA36+CA35</f>
        <v>24.454328999999998</v>
      </c>
      <c r="CB34" s="11">
        <f>CA34/$CA$34</f>
        <v>1</v>
      </c>
      <c r="CC34" s="40">
        <f t="shared" si="95"/>
        <v>0.24990960843200738</v>
      </c>
      <c r="CD34" s="314">
        <f t="shared" si="96"/>
        <v>-0.17071450255476461</v>
      </c>
      <c r="CE34" s="194">
        <v>25.328329000000004</v>
      </c>
      <c r="CF34" s="11">
        <f>CE34/$CE$34</f>
        <v>1</v>
      </c>
      <c r="CG34" s="40">
        <f t="shared" si="98"/>
        <v>0.21321880711886942</v>
      </c>
      <c r="CH34" s="84">
        <f t="shared" si="99"/>
        <v>3.5740093298000764E-2</v>
      </c>
      <c r="CI34" s="337">
        <f>CI36+CI35</f>
        <v>100.593</v>
      </c>
      <c r="CJ34" s="11">
        <f>CI34/$CI$34</f>
        <v>1</v>
      </c>
      <c r="CK34" s="338">
        <f t="shared" si="101"/>
        <v>0.31561188056656331</v>
      </c>
      <c r="CL34" s="189">
        <f>CL21+CL24+CL27+CL30+CL33</f>
        <v>35.385999999999996</v>
      </c>
      <c r="CM34" s="11">
        <f t="shared" si="102"/>
        <v>1</v>
      </c>
      <c r="CN34" s="40">
        <f>CL34/BS34-1</f>
        <v>0.65971188009625226</v>
      </c>
      <c r="CO34" s="314">
        <f>CL34/CE34-1</f>
        <v>0.39709177024666698</v>
      </c>
      <c r="CP34" s="194">
        <f>CP21+CP24+CP27+CP30+CP33</f>
        <v>32.701000000000001</v>
      </c>
      <c r="CQ34" s="11">
        <f t="shared" si="105"/>
        <v>1</v>
      </c>
      <c r="CR34" s="40">
        <f>CP34/BW34-1</f>
        <v>0.10894333072711371</v>
      </c>
      <c r="CS34" s="314">
        <f t="shared" si="107"/>
        <v>-7.5877465664386912E-2</v>
      </c>
      <c r="CT34" s="194">
        <f>CT21+CT24+CT27+CT30+CT33</f>
        <v>33.262999999999998</v>
      </c>
      <c r="CU34" s="11">
        <f t="shared" si="108"/>
        <v>1</v>
      </c>
      <c r="CV34" s="40">
        <f>CT34/CA34-1</f>
        <v>0.36020906564232447</v>
      </c>
      <c r="CW34" s="314">
        <f t="shared" si="110"/>
        <v>1.7186018776184087E-2</v>
      </c>
      <c r="CX34" s="194">
        <f>CX33+CX30+CX27+CX24+CX21</f>
        <v>40.459000000000003</v>
      </c>
      <c r="CY34" s="11">
        <f t="shared" si="111"/>
        <v>1</v>
      </c>
      <c r="CZ34" s="40">
        <f>CX34/CE34-1</f>
        <v>0.5973813353419406</v>
      </c>
      <c r="DA34" s="84">
        <f t="shared" si="113"/>
        <v>0.21633646995159794</v>
      </c>
      <c r="DB34" s="337">
        <f>DB36+DB35</f>
        <v>141.79900000000001</v>
      </c>
      <c r="DC34" s="11">
        <f t="shared" si="114"/>
        <v>1</v>
      </c>
      <c r="DD34" s="338">
        <f t="shared" si="115"/>
        <v>0.40963088882924259</v>
      </c>
      <c r="DE34" s="189">
        <f>DE21+DE24+DE27+DE30+DE33</f>
        <v>38.972799999999999</v>
      </c>
      <c r="DF34" s="11">
        <f t="shared" si="116"/>
        <v>1</v>
      </c>
      <c r="DG34" s="40">
        <f>DE34/CL34-1</f>
        <v>0.1013621206126718</v>
      </c>
      <c r="DH34" s="314">
        <f>DE34/CX34-1</f>
        <v>-3.6733483279369317E-2</v>
      </c>
      <c r="DI34" s="194">
        <f>DI21+DI24+DI27+DI30+DI33</f>
        <v>45.895000000000003</v>
      </c>
      <c r="DJ34" s="11">
        <f t="shared" si="119"/>
        <v>1</v>
      </c>
      <c r="DK34" s="40">
        <f>DI34/CP34-1</f>
        <v>0.40347389988073767</v>
      </c>
      <c r="DL34" s="314">
        <f t="shared" si="121"/>
        <v>0.17761618359471232</v>
      </c>
      <c r="DM34" s="194">
        <f>DM21+DM24+DM27+DM30+DM33</f>
        <v>48.245000000000005</v>
      </c>
      <c r="DN34" s="11">
        <f t="shared" si="122"/>
        <v>1</v>
      </c>
      <c r="DO34" s="40">
        <f>DM34/CT34-1</f>
        <v>0.45041036587199001</v>
      </c>
      <c r="DP34" s="314">
        <f t="shared" si="124"/>
        <v>5.1203834840396478E-2</v>
      </c>
      <c r="DQ34" s="194"/>
      <c r="DR34" s="11"/>
      <c r="DS34" s="40"/>
      <c r="DT34" s="84"/>
      <c r="DU34" s="337"/>
      <c r="DV34" s="11"/>
      <c r="DW34" s="338"/>
    </row>
    <row r="35" spans="1:127" s="6" customFormat="1" ht="16.95" customHeight="1" x14ac:dyDescent="0.4">
      <c r="A35" s="41" t="s">
        <v>40</v>
      </c>
      <c r="B35" s="216"/>
      <c r="C35" s="241"/>
      <c r="D35" s="242"/>
      <c r="E35" s="241"/>
      <c r="F35" s="242"/>
      <c r="G35" s="257">
        <v>6.42</v>
      </c>
      <c r="H35" s="42">
        <v>6.78</v>
      </c>
      <c r="I35" s="42">
        <v>5.22</v>
      </c>
      <c r="J35" s="296">
        <f>23.511-G35-H35-I35</f>
        <v>5.0910000000000002</v>
      </c>
      <c r="K35" s="339">
        <f>G35+H35+I35+J35</f>
        <v>23.510999999999999</v>
      </c>
      <c r="L35" s="56">
        <f t="shared" si="48"/>
        <v>0.67424720390020065</v>
      </c>
      <c r="M35" s="242"/>
      <c r="N35" s="42">
        <v>6.23</v>
      </c>
      <c r="O35" s="55">
        <f>N35/$N$34</f>
        <v>0.63377416073245174</v>
      </c>
      <c r="P35" s="54">
        <f>N35/G35-1</f>
        <v>-2.9595015576323935E-2</v>
      </c>
      <c r="Q35" s="367">
        <f t="shared" si="51"/>
        <v>0.22372814771164795</v>
      </c>
      <c r="R35" s="42">
        <v>7.53</v>
      </c>
      <c r="S35" s="55">
        <f>R35/$R$34</f>
        <v>0.65706806282722507</v>
      </c>
      <c r="T35" s="54">
        <f>R35/H35-1</f>
        <v>0.11061946902654873</v>
      </c>
      <c r="U35" s="308">
        <f>R35/N35-1</f>
        <v>0.2086677367576244</v>
      </c>
      <c r="V35" s="205">
        <v>6.38</v>
      </c>
      <c r="W35" s="55">
        <f>V35/$V$34</f>
        <v>0.54952627045650304</v>
      </c>
      <c r="X35" s="54">
        <f>V35/I35-1</f>
        <v>0.22222222222222232</v>
      </c>
      <c r="Y35" s="315">
        <f>V35/R35-1</f>
        <v>-0.15272244355909703</v>
      </c>
      <c r="Z35" s="195">
        <f>AD35-N35-R35-V35</f>
        <v>7.4009999999999989</v>
      </c>
      <c r="AA35" s="55">
        <f>Z35/$Z$34</f>
        <v>0.50757835539400575</v>
      </c>
      <c r="AB35" s="54">
        <f>Z35/J35-1</f>
        <v>0.45374189746611648</v>
      </c>
      <c r="AC35" s="85">
        <f>Z35/V35-1</f>
        <v>0.16003134796238228</v>
      </c>
      <c r="AD35" s="339">
        <v>27.541</v>
      </c>
      <c r="AE35" s="56">
        <f>AD35/$AD$34</f>
        <v>0.58004254333312266</v>
      </c>
      <c r="AF35" s="340">
        <f>AD35/K35-1</f>
        <v>0.17140912764238014</v>
      </c>
      <c r="AG35" s="195">
        <f>AG22+AG25+AG28+AG31</f>
        <v>8.5350000000000001</v>
      </c>
      <c r="AH35" s="56">
        <f>AG35/$AG$34</f>
        <v>0.52717726991970348</v>
      </c>
      <c r="AI35" s="54">
        <f>AG35/N35-1</f>
        <v>0.369983948635634</v>
      </c>
      <c r="AJ35" s="315">
        <f>AG35/Z35-1</f>
        <v>0.1532225374949332</v>
      </c>
      <c r="AK35" s="195">
        <f>AK22+AK25+AK28+AK31</f>
        <v>10.545999999999999</v>
      </c>
      <c r="AL35" s="56">
        <f t="shared" si="67"/>
        <v>0.48912388108158245</v>
      </c>
      <c r="AM35" s="54">
        <f>AK35/R35-1</f>
        <v>0.40053120849933577</v>
      </c>
      <c r="AN35" s="315">
        <f>AK35/AG35-1</f>
        <v>0.23561804335090786</v>
      </c>
      <c r="AO35" s="195">
        <f>AO22+AO25+AO28+AO31</f>
        <v>11.055856000000002</v>
      </c>
      <c r="AP35" s="56">
        <f>AO35/$AO$34</f>
        <v>0.52494554141364336</v>
      </c>
      <c r="AQ35" s="54">
        <f>AO35/V35-1</f>
        <v>0.73289278996865237</v>
      </c>
      <c r="AR35" s="315">
        <f>AO35/AK35-1</f>
        <v>4.834591314242398E-2</v>
      </c>
      <c r="AS35" s="195">
        <f>AW35-AO35-AK35-AG35</f>
        <v>11.033144</v>
      </c>
      <c r="AT35" s="89">
        <f>AS35/$AS$34</f>
        <v>0.49431555729151411</v>
      </c>
      <c r="AU35" s="54">
        <f>AS35/Z35-1</f>
        <v>0.49076395081745727</v>
      </c>
      <c r="AV35" s="85">
        <f>AS35/AO35-1</f>
        <v>-2.0542959314956422E-3</v>
      </c>
      <c r="AW35" s="339">
        <v>41.17</v>
      </c>
      <c r="AX35" s="56">
        <f>AW35/$AW$34</f>
        <v>0.50743840360888914</v>
      </c>
      <c r="AY35" s="340">
        <f>AW35/AD35-1</f>
        <v>0.49486220543916337</v>
      </c>
      <c r="AZ35" s="190">
        <f>AZ22+AZ25+AZ28+AZ31</f>
        <v>12.631</v>
      </c>
      <c r="BA35" s="56">
        <f>AZ35/$AZ$34</f>
        <v>0.58954492415402571</v>
      </c>
      <c r="BB35" s="54">
        <f>AZ35/AG35-1</f>
        <v>0.47990626830697125</v>
      </c>
      <c r="BC35" s="315">
        <f>AZ35/AS35-1</f>
        <v>0.14482327068331569</v>
      </c>
      <c r="BD35" s="195">
        <f>BD22+BD25+BD28+BD31</f>
        <v>5.3888639999999999</v>
      </c>
      <c r="BE35" s="56">
        <f>BD35/$BD$34</f>
        <v>0.36924809966729827</v>
      </c>
      <c r="BF35" s="54">
        <f>BD35/AK35-1</f>
        <v>-0.48901346482078512</v>
      </c>
      <c r="BG35" s="315">
        <f>BD35/AZ35-1</f>
        <v>-0.57336204576043071</v>
      </c>
      <c r="BH35" s="195">
        <f>BH22+BH25+BH28+BH31</f>
        <v>11.120165</v>
      </c>
      <c r="BI35" s="56">
        <f>BH35/$BH$34</f>
        <v>0.56837384828057702</v>
      </c>
      <c r="BJ35" s="54">
        <f t="shared" si="81"/>
        <v>5.8167363974348518E-3</v>
      </c>
      <c r="BK35" s="315">
        <f t="shared" si="82"/>
        <v>1.0635453037968672</v>
      </c>
      <c r="BL35" s="195">
        <f>BP35-AZ35-BD35-BH35</f>
        <v>12.759971</v>
      </c>
      <c r="BM35" s="89">
        <f>BL35/$BL$34</f>
        <v>0.61119850407389154</v>
      </c>
      <c r="BN35" s="54">
        <f t="shared" si="84"/>
        <v>0.15651268577660193</v>
      </c>
      <c r="BO35" s="85">
        <f t="shared" si="85"/>
        <v>0.14746238027942926</v>
      </c>
      <c r="BP35" s="339">
        <f>BP22+BP25+BP28+BP31</f>
        <v>41.9</v>
      </c>
      <c r="BQ35" s="56">
        <f>BP35/$BP$34</f>
        <v>0.54799178666248149</v>
      </c>
      <c r="BR35" s="340">
        <f t="shared" si="87"/>
        <v>1.7731357784794621E-2</v>
      </c>
      <c r="BS35" s="190">
        <f>BS22+BS25+BS28+BS31</f>
        <v>13.63148</v>
      </c>
      <c r="BT35" s="56">
        <f>BS35/$BS$34</f>
        <v>0.63935820096350149</v>
      </c>
      <c r="BU35" s="54">
        <f>BS35/AZ35-1</f>
        <v>7.9208297046947873E-2</v>
      </c>
      <c r="BV35" s="315">
        <f>BS35/BL35-1</f>
        <v>6.8300233597709648E-2</v>
      </c>
      <c r="BW35" s="195">
        <f>BW22+BW25+BW28+BW31</f>
        <v>20.315197000000001</v>
      </c>
      <c r="BX35" s="56">
        <f>BW35/$BW$34</f>
        <v>0.68892089616701224</v>
      </c>
      <c r="BY35" s="54">
        <f>BW35/BD35-1</f>
        <v>2.7698477823897583</v>
      </c>
      <c r="BZ35" s="315">
        <f>BW35/BS35-1</f>
        <v>0.4903148447564023</v>
      </c>
      <c r="CA35" s="195">
        <f>CA22+CA25+CA28+CA31</f>
        <v>17.570322999999998</v>
      </c>
      <c r="CB35" s="56">
        <f>CA35/$CA$34</f>
        <v>0.71849540422883817</v>
      </c>
      <c r="CC35" s="54">
        <f t="shared" si="95"/>
        <v>0.58004157312413973</v>
      </c>
      <c r="CD35" s="315">
        <f t="shared" si="96"/>
        <v>-0.1351143186059186</v>
      </c>
      <c r="CE35" s="195">
        <f>CE22+CE25+CE28+CE31</f>
        <v>18.662000000000006</v>
      </c>
      <c r="CF35" s="89">
        <f>CE35/$CE$34</f>
        <v>0.73680344250108265</v>
      </c>
      <c r="CG35" s="54">
        <f t="shared" si="98"/>
        <v>0.46254250891322601</v>
      </c>
      <c r="CH35" s="85">
        <f t="shared" si="99"/>
        <v>6.2131868605944662E-2</v>
      </c>
      <c r="CI35" s="339">
        <f>CI22+CI25+CI28+CI31</f>
        <v>70.179000000000002</v>
      </c>
      <c r="CJ35" s="56">
        <f>CI35/$CI$34</f>
        <v>0.697652918195103</v>
      </c>
      <c r="CK35" s="340">
        <f t="shared" si="101"/>
        <v>0.6749164677804298</v>
      </c>
      <c r="CL35" s="190">
        <f>CL22+CL25+CL28+CL31</f>
        <v>19.264999999999997</v>
      </c>
      <c r="CM35" s="56">
        <f t="shared" si="102"/>
        <v>0.5444243486124456</v>
      </c>
      <c r="CN35" s="54">
        <f>CL35/BS35-1</f>
        <v>0.41327280676786349</v>
      </c>
      <c r="CO35" s="315">
        <f>CL35/CE35-1</f>
        <v>3.2311649340906134E-2</v>
      </c>
      <c r="CP35" s="195">
        <f>CP22+CP25+CP28+CP31</f>
        <v>19.452000000000002</v>
      </c>
      <c r="CQ35" s="56">
        <f t="shared" si="105"/>
        <v>0.59484419436714475</v>
      </c>
      <c r="CR35" s="54">
        <f>CP35/BW35-1</f>
        <v>-4.2490210653630345E-2</v>
      </c>
      <c r="CS35" s="315">
        <f t="shared" si="107"/>
        <v>9.7067220347784033E-3</v>
      </c>
      <c r="CT35" s="195">
        <f>CT22+CT25+CT28+CT31</f>
        <v>22.859000000000002</v>
      </c>
      <c r="CU35" s="56">
        <f t="shared" si="108"/>
        <v>0.68722003427231471</v>
      </c>
      <c r="CV35" s="54">
        <f>CT35/CA35-1</f>
        <v>0.30100055644964541</v>
      </c>
      <c r="CW35" s="315">
        <f t="shared" si="110"/>
        <v>0.17514908492699988</v>
      </c>
      <c r="CX35" s="195">
        <f>CX22+CX25+CX28+CX31</f>
        <v>25.853000000000002</v>
      </c>
      <c r="CY35" s="89">
        <f t="shared" si="111"/>
        <v>0.63899256036975705</v>
      </c>
      <c r="CZ35" s="54">
        <f>CX35/CE35-1</f>
        <v>0.38532847497588651</v>
      </c>
      <c r="DA35" s="85">
        <f t="shared" si="113"/>
        <v>0.13097685813027682</v>
      </c>
      <c r="DB35" s="339">
        <f>DB22+DB25+DB28+DB31</f>
        <v>87.429000000000002</v>
      </c>
      <c r="DC35" s="56">
        <f t="shared" si="114"/>
        <v>0.61656993349741529</v>
      </c>
      <c r="DD35" s="340">
        <f t="shared" si="115"/>
        <v>0.24580002564869829</v>
      </c>
      <c r="DE35" s="190">
        <f>DE22+DE25+DE28+DE31</f>
        <v>24.043099999999999</v>
      </c>
      <c r="DF35" s="56">
        <f t="shared" si="116"/>
        <v>0.61692000574759831</v>
      </c>
      <c r="DG35" s="54">
        <f>DE35/CL35-1</f>
        <v>0.24801972488969648</v>
      </c>
      <c r="DH35" s="315">
        <f>DE35/CX35-1</f>
        <v>-7.0007349243801587E-2</v>
      </c>
      <c r="DI35" s="195">
        <f>DI22+DI25+DI28+DI31</f>
        <v>31.250000000000004</v>
      </c>
      <c r="DJ35" s="56">
        <f t="shared" si="119"/>
        <v>0.68090205904782664</v>
      </c>
      <c r="DK35" s="54">
        <f>DI35/CP35-1</f>
        <v>0.60651860991157736</v>
      </c>
      <c r="DL35" s="315">
        <f t="shared" si="121"/>
        <v>0.29974920039429209</v>
      </c>
      <c r="DM35" s="195">
        <f>DM22+DM25+DM28+DM31</f>
        <v>31.035</v>
      </c>
      <c r="DN35" s="56">
        <f t="shared" si="122"/>
        <v>0.64327909627940716</v>
      </c>
      <c r="DO35" s="54">
        <f>DM35/CT35-1</f>
        <v>0.35767093923618698</v>
      </c>
      <c r="DP35" s="315">
        <f t="shared" si="124"/>
        <v>-6.8800000000001083E-3</v>
      </c>
      <c r="DQ35" s="195"/>
      <c r="DR35" s="89"/>
      <c r="DS35" s="54"/>
      <c r="DT35" s="85"/>
      <c r="DU35" s="339"/>
      <c r="DV35" s="56"/>
      <c r="DW35" s="340"/>
    </row>
    <row r="36" spans="1:127" s="93" customFormat="1" ht="16.95" customHeight="1" thickBot="1" x14ac:dyDescent="0.45">
      <c r="A36" s="87" t="s">
        <v>41</v>
      </c>
      <c r="B36" s="219"/>
      <c r="C36" s="246"/>
      <c r="D36" s="247"/>
      <c r="E36" s="246"/>
      <c r="F36" s="247"/>
      <c r="G36" s="260">
        <v>2.2000000000000002</v>
      </c>
      <c r="H36" s="47">
        <v>2.93</v>
      </c>
      <c r="I36" s="47">
        <v>3.3</v>
      </c>
      <c r="J36" s="266">
        <f>11.357-G36-H36-I36</f>
        <v>2.9270000000000005</v>
      </c>
      <c r="K36" s="349">
        <f>G36+H36+I36+J36</f>
        <v>11.356999999999999</v>
      </c>
      <c r="L36" s="274">
        <f t="shared" si="48"/>
        <v>0.32569544020648117</v>
      </c>
      <c r="M36" s="247"/>
      <c r="N36" s="271">
        <v>3.6</v>
      </c>
      <c r="O36" s="269">
        <f>N36/$N$34</f>
        <v>0.36622583926754831</v>
      </c>
      <c r="P36" s="270">
        <f>N36/G36-1</f>
        <v>0.63636363636363624</v>
      </c>
      <c r="Q36" s="370">
        <f t="shared" si="51"/>
        <v>0.22992825418517238</v>
      </c>
      <c r="R36" s="271">
        <v>3.93</v>
      </c>
      <c r="S36" s="269">
        <f>R36/$R$34</f>
        <v>0.34293193717277487</v>
      </c>
      <c r="T36" s="270">
        <f>R36/H36-1</f>
        <v>0.34129692832764502</v>
      </c>
      <c r="U36" s="311">
        <f t="shared" si="54"/>
        <v>9.1666666666666785E-2</v>
      </c>
      <c r="V36" s="272">
        <v>5.23</v>
      </c>
      <c r="W36" s="269">
        <f>V36/$V$34</f>
        <v>0.45047372954349707</v>
      </c>
      <c r="X36" s="270">
        <f>V36/I36-1</f>
        <v>0.58484848484848517</v>
      </c>
      <c r="Y36" s="317">
        <f t="shared" si="57"/>
        <v>0.33078880407124678</v>
      </c>
      <c r="Z36" s="272">
        <f>AD36-N36-R36-V36</f>
        <v>7.18</v>
      </c>
      <c r="AA36" s="269">
        <f>Z36/$Z$34</f>
        <v>0.49242164460599397</v>
      </c>
      <c r="AB36" s="270">
        <f>Z36/J36-1</f>
        <v>1.4530235736248716</v>
      </c>
      <c r="AC36" s="273">
        <f t="shared" si="61"/>
        <v>0.37284894837476079</v>
      </c>
      <c r="AD36" s="349">
        <v>19.940000000000001</v>
      </c>
      <c r="AE36" s="274">
        <f>AD36/$AD$34</f>
        <v>0.41995745666687728</v>
      </c>
      <c r="AF36" s="350">
        <f>AD36/K36-1</f>
        <v>0.75574535528748821</v>
      </c>
      <c r="AG36" s="197">
        <f>AG23+AG26+AG29+AG32</f>
        <v>7.6550000000000002</v>
      </c>
      <c r="AH36" s="58">
        <f>AG36/$AG$34</f>
        <v>0.47282273008029646</v>
      </c>
      <c r="AI36" s="57">
        <f>AG36/N36-1</f>
        <v>1.1263888888888891</v>
      </c>
      <c r="AJ36" s="320">
        <f>AG36/Z36-1</f>
        <v>6.615598885793883E-2</v>
      </c>
      <c r="AK36" s="197">
        <f>AK23+AK26+AK29+AK32</f>
        <v>11.016000000000002</v>
      </c>
      <c r="AL36" s="58">
        <f t="shared" si="67"/>
        <v>0.51092249895644926</v>
      </c>
      <c r="AM36" s="57">
        <f>AK36/R36-1</f>
        <v>1.8030534351145042</v>
      </c>
      <c r="AN36" s="320">
        <f t="shared" si="125"/>
        <v>0.43905943827563698</v>
      </c>
      <c r="AO36" s="197">
        <f>AO23+AO26+AO29+AO32</f>
        <v>9.9501930000000023</v>
      </c>
      <c r="AP36" s="58">
        <f>AO36/$AO$34</f>
        <v>0.47244731222577835</v>
      </c>
      <c r="AQ36" s="57">
        <f>AO36/V36-1</f>
        <v>0.90252256214149162</v>
      </c>
      <c r="AR36" s="320">
        <f t="shared" si="126"/>
        <v>-9.6750816993463995E-2</v>
      </c>
      <c r="AS36" s="197">
        <f>AS34-AS35</f>
        <v>11.286897999999997</v>
      </c>
      <c r="AT36" s="90">
        <f>AS36/$AS$34</f>
        <v>0.50568444270848589</v>
      </c>
      <c r="AU36" s="57">
        <f>AS36/Z36-1</f>
        <v>0.57199136490250657</v>
      </c>
      <c r="AV36" s="86">
        <f t="shared" si="128"/>
        <v>0.13433960527197764</v>
      </c>
      <c r="AW36" s="344">
        <f>AW34-AW35</f>
        <v>39.962999999999994</v>
      </c>
      <c r="AX36" s="58">
        <f>AW36/$AW$34</f>
        <v>0.49256159639111086</v>
      </c>
      <c r="AY36" s="345">
        <f t="shared" si="129"/>
        <v>1.0041624874623869</v>
      </c>
      <c r="AZ36" s="192">
        <f>AZ23+AZ26+AZ29+AZ32</f>
        <v>8.7940000000000005</v>
      </c>
      <c r="BA36" s="58">
        <f>AZ36/$AZ$34</f>
        <v>0.41045507584597435</v>
      </c>
      <c r="BB36" s="57">
        <f>AZ36/AG36-1</f>
        <v>0.14879163945133911</v>
      </c>
      <c r="BC36" s="320">
        <f t="shared" si="76"/>
        <v>-0.2208665303788514</v>
      </c>
      <c r="BD36" s="197">
        <f>BD23+BD26+BD29+BD32</f>
        <v>9.2052910000000008</v>
      </c>
      <c r="BE36" s="58">
        <f>BD36/$BD$34</f>
        <v>0.63075190033270168</v>
      </c>
      <c r="BF36" s="57">
        <f t="shared" si="78"/>
        <v>-0.16437082425562821</v>
      </c>
      <c r="BG36" s="320">
        <f t="shared" si="79"/>
        <v>4.6769501933136226E-2</v>
      </c>
      <c r="BH36" s="197">
        <f>BH23+BH26+BH29+BH32</f>
        <v>8.4447130000000001</v>
      </c>
      <c r="BI36" s="58">
        <f>BH36/$BH$34</f>
        <v>0.43162615171942292</v>
      </c>
      <c r="BJ36" s="57">
        <f t="shared" si="81"/>
        <v>-0.15130158781844749</v>
      </c>
      <c r="BK36" s="320">
        <f t="shared" si="82"/>
        <v>-8.2624003955985792E-2</v>
      </c>
      <c r="BL36" s="197">
        <f>BP36-AZ36-BD36-BH36</f>
        <v>8.1169960000000003</v>
      </c>
      <c r="BM36" s="90">
        <f>BL36/$BL$34</f>
        <v>0.38880149592610841</v>
      </c>
      <c r="BN36" s="57">
        <f t="shared" si="84"/>
        <v>-0.28084793536718389</v>
      </c>
      <c r="BO36" s="86">
        <f t="shared" si="85"/>
        <v>-3.880735792915635E-2</v>
      </c>
      <c r="BP36" s="344">
        <f>BP23+BP26+BP29+BP32</f>
        <v>34.561</v>
      </c>
      <c r="BQ36" s="58">
        <f>BP36/$BP$34</f>
        <v>0.45200821333751851</v>
      </c>
      <c r="BR36" s="345">
        <f t="shared" si="87"/>
        <v>-0.13517503690914079</v>
      </c>
      <c r="BS36" s="192">
        <f>BS23+BS26+BS29+BS32</f>
        <v>7.6890879999999999</v>
      </c>
      <c r="BT36" s="58">
        <f>BS36/$BS$34</f>
        <v>0.36064179903649846</v>
      </c>
      <c r="BU36" s="57">
        <f>BS36/AZ36-1</f>
        <v>-0.12564384807823525</v>
      </c>
      <c r="BV36" s="320">
        <f>BS36/BL36-1</f>
        <v>-5.2717532446732829E-2</v>
      </c>
      <c r="BW36" s="197">
        <f>BW23+BW26+BW29+BW32</f>
        <v>9.1745769999999993</v>
      </c>
      <c r="BX36" s="58">
        <f>BW36/$BW$34</f>
        <v>0.31112461320425583</v>
      </c>
      <c r="BY36" s="57">
        <f>BW36/BD36-1</f>
        <v>-3.3365593765587453E-3</v>
      </c>
      <c r="BZ36" s="320">
        <f>BW36/BS36-1</f>
        <v>0.19319443346206988</v>
      </c>
      <c r="CA36" s="197">
        <f>CA23+CA26+CA29+CA32</f>
        <v>6.8840059999999994</v>
      </c>
      <c r="CB36" s="58">
        <f>CA36/$CA$34</f>
        <v>0.28150459577116183</v>
      </c>
      <c r="CC36" s="57">
        <f t="shared" si="95"/>
        <v>-0.18481468819603464</v>
      </c>
      <c r="CD36" s="320">
        <f t="shared" si="96"/>
        <v>-0.24966502542842028</v>
      </c>
      <c r="CE36" s="197">
        <f>CE23+CE26+CE29+CE32</f>
        <v>6.6663289999999984</v>
      </c>
      <c r="CF36" s="90">
        <f>CE36/$CE$34</f>
        <v>0.26319655749891741</v>
      </c>
      <c r="CG36" s="57">
        <f t="shared" si="98"/>
        <v>-0.1787196889095426</v>
      </c>
      <c r="CH36" s="86">
        <f t="shared" si="99"/>
        <v>-3.162068714059818E-2</v>
      </c>
      <c r="CI36" s="344">
        <f>CI23+CI26+CI29+CI32</f>
        <v>30.414000000000001</v>
      </c>
      <c r="CJ36" s="58">
        <f>CI36/$CI$34</f>
        <v>0.30234708180489694</v>
      </c>
      <c r="CK36" s="345">
        <f t="shared" si="101"/>
        <v>-0.11999074100865137</v>
      </c>
      <c r="CL36" s="192">
        <f>CL23+CL26+CL29+CL32+CL33</f>
        <v>16.121000000000002</v>
      </c>
      <c r="CM36" s="58">
        <f t="shared" si="102"/>
        <v>0.45557565138755451</v>
      </c>
      <c r="CN36" s="57">
        <f>CL36/BS36-1</f>
        <v>1.0966075560586641</v>
      </c>
      <c r="CO36" s="320">
        <f>CL36/CE36-1</f>
        <v>1.4182724855013915</v>
      </c>
      <c r="CP36" s="197">
        <f>CP23+CP26+CP29+CP32+CP33</f>
        <v>13.239000000000001</v>
      </c>
      <c r="CQ36" s="58">
        <f t="shared" si="105"/>
        <v>0.4048500045870157</v>
      </c>
      <c r="CR36" s="57">
        <f>CP36/BW36-1</f>
        <v>0.4430093071320893</v>
      </c>
      <c r="CS36" s="320">
        <f t="shared" si="107"/>
        <v>-0.1787730289684264</v>
      </c>
      <c r="CT36" s="197">
        <f>CT23+CT26+CT29+CT32+CT33</f>
        <v>10.404</v>
      </c>
      <c r="CU36" s="58">
        <f t="shared" si="108"/>
        <v>0.31277996572768541</v>
      </c>
      <c r="CV36" s="57">
        <f>CT36/CA36-1</f>
        <v>0.51132930447765457</v>
      </c>
      <c r="CW36" s="320">
        <f t="shared" si="110"/>
        <v>-0.21414004078857929</v>
      </c>
      <c r="CX36" s="197">
        <f>CX23+CX26+CX29+CX32+CX33</f>
        <v>14.606000000000002</v>
      </c>
      <c r="CY36" s="90">
        <f t="shared" si="111"/>
        <v>0.36100743963024295</v>
      </c>
      <c r="CZ36" s="57">
        <f>CX36/CE36-1</f>
        <v>1.1910109747058697</v>
      </c>
      <c r="DA36" s="86">
        <f t="shared" si="113"/>
        <v>0.40388312187620157</v>
      </c>
      <c r="DB36" s="344">
        <f>DB23+DB26+DB29+DB32+DB33</f>
        <v>54.370000000000012</v>
      </c>
      <c r="DC36" s="58">
        <f t="shared" si="114"/>
        <v>0.38343006650258471</v>
      </c>
      <c r="DD36" s="345">
        <f t="shared" si="115"/>
        <v>0.78766357598474412</v>
      </c>
      <c r="DE36" s="192">
        <f>DE23+DE26+DE29+DE32+DE33</f>
        <v>14.9297</v>
      </c>
      <c r="DF36" s="58">
        <f t="shared" si="116"/>
        <v>0.38307999425240169</v>
      </c>
      <c r="DG36" s="57">
        <f>DE36/CL36-1</f>
        <v>-7.3897400905651112E-2</v>
      </c>
      <c r="DH36" s="320">
        <f>DE36/CX36-1</f>
        <v>2.2162125154046253E-2</v>
      </c>
      <c r="DI36" s="197">
        <f>DI23+DI26+DI29+DI32+DI33</f>
        <v>14.645000000000001</v>
      </c>
      <c r="DJ36" s="58">
        <f t="shared" si="119"/>
        <v>0.31909794095217342</v>
      </c>
      <c r="DK36" s="57">
        <f>DI36/CP36-1</f>
        <v>0.10620137472618785</v>
      </c>
      <c r="DL36" s="320">
        <f t="shared" si="121"/>
        <v>-1.9069371789118272E-2</v>
      </c>
      <c r="DM36" s="197">
        <f>DM23+DM26+DM29+DM32+DM33</f>
        <v>17.21</v>
      </c>
      <c r="DN36" s="58">
        <f t="shared" si="122"/>
        <v>0.35672090372059279</v>
      </c>
      <c r="DO36" s="57">
        <f>DM36/CT36-1</f>
        <v>0.65417147251057295</v>
      </c>
      <c r="DP36" s="320">
        <f t="shared" si="124"/>
        <v>0.17514510071696821</v>
      </c>
      <c r="DQ36" s="197"/>
      <c r="DR36" s="90"/>
      <c r="DS36" s="57"/>
      <c r="DT36" s="86"/>
      <c r="DU36" s="344"/>
      <c r="DV36" s="58"/>
      <c r="DW36" s="345"/>
    </row>
    <row r="37" spans="1:127" s="282" customFormat="1" ht="16.95" customHeight="1" thickBot="1" x14ac:dyDescent="0.45">
      <c r="A37" s="161" t="s">
        <v>46</v>
      </c>
      <c r="B37" s="220"/>
      <c r="C37" s="248"/>
      <c r="D37" s="249"/>
      <c r="E37" s="248"/>
      <c r="F37" s="249"/>
      <c r="G37" s="275">
        <v>0.16800000000000001</v>
      </c>
      <c r="H37" s="276">
        <f>0.647-G37</f>
        <v>0.47899999999999998</v>
      </c>
      <c r="I37" s="276">
        <f>0.927-H37-G37</f>
        <v>0.28000000000000003</v>
      </c>
      <c r="J37" s="277">
        <f>K37-I37-H37-G37</f>
        <v>0.7609999999999999</v>
      </c>
      <c r="K37" s="346">
        <v>1.6879999999999999</v>
      </c>
      <c r="L37" s="347">
        <f t="shared" si="48"/>
        <v>4.8408373960424425E-2</v>
      </c>
      <c r="M37" s="249"/>
      <c r="N37" s="280">
        <v>0.63100000000000001</v>
      </c>
      <c r="O37" s="278">
        <f>N37/N$34</f>
        <v>6.4191251271617497E-2</v>
      </c>
      <c r="P37" s="279">
        <f>N37/G37-1</f>
        <v>2.7559523809523809</v>
      </c>
      <c r="Q37" s="371">
        <f t="shared" si="51"/>
        <v>-0.17082785808147161</v>
      </c>
      <c r="R37" s="280">
        <f>1.588-N37</f>
        <v>0.95700000000000007</v>
      </c>
      <c r="S37" s="278">
        <f>R37/R$34</f>
        <v>8.3507853403141361E-2</v>
      </c>
      <c r="T37" s="279">
        <f>R37/H37-1</f>
        <v>0.99791231732776642</v>
      </c>
      <c r="U37" s="312">
        <f>R37/N37-1</f>
        <v>0.51664025356576881</v>
      </c>
      <c r="V37" s="178">
        <f>2.684-R37-N37</f>
        <v>1.0960000000000001</v>
      </c>
      <c r="W37" s="278">
        <f>V37/V$34</f>
        <v>9.4401378122308366E-2</v>
      </c>
      <c r="X37" s="279">
        <f>V37/I37-1</f>
        <v>2.9142857142857141</v>
      </c>
      <c r="Y37" s="312">
        <f>V37/R37-1</f>
        <v>0.14524555903866254</v>
      </c>
      <c r="Z37" s="178">
        <f>AD37-V37-R37-N37</f>
        <v>1.4790000000000003</v>
      </c>
      <c r="AA37" s="278">
        <f>Z37/Z$34</f>
        <v>0.10143337219669434</v>
      </c>
      <c r="AB37" s="279">
        <f>Z37/J37-1</f>
        <v>0.94349540078843686</v>
      </c>
      <c r="AC37" s="278">
        <f>Z37/V37-1</f>
        <v>0.34945255474452575</v>
      </c>
      <c r="AD37" s="346">
        <v>4.1630000000000003</v>
      </c>
      <c r="AE37" s="347">
        <f>AD37/AD$34</f>
        <v>8.767717613361134E-2</v>
      </c>
      <c r="AF37" s="348">
        <f>AD37/K37-1</f>
        <v>1.4662322274881521</v>
      </c>
      <c r="AG37" s="178">
        <v>1.2030000000000001</v>
      </c>
      <c r="AH37" s="278">
        <f>AG37/AG$34</f>
        <v>7.4305126621371217E-2</v>
      </c>
      <c r="AI37" s="279">
        <f>AG37/K37-1</f>
        <v>-0.28732227488151652</v>
      </c>
      <c r="AJ37" s="312">
        <f>AG37/Z37-1</f>
        <v>-0.18661257606490889</v>
      </c>
      <c r="AK37" s="178">
        <f>3.514-AG37</f>
        <v>2.3109999999999999</v>
      </c>
      <c r="AL37" s="278">
        <f t="shared" si="67"/>
        <v>0.10718426789109967</v>
      </c>
      <c r="AM37" s="279">
        <f>AK37/R37-1</f>
        <v>1.4148380355276906</v>
      </c>
      <c r="AN37" s="312">
        <f>AK37/AG37-1</f>
        <v>0.92103075644222754</v>
      </c>
      <c r="AO37" s="178">
        <f>6.888-AK37-AG37</f>
        <v>3.3739999999999997</v>
      </c>
      <c r="AP37" s="278">
        <f>AO37/AO$34</f>
        <v>0.1602016394505891</v>
      </c>
      <c r="AQ37" s="279">
        <f>AO37/V37-1</f>
        <v>2.078467153284671</v>
      </c>
      <c r="AR37" s="312">
        <f>AO37/AK37-1</f>
        <v>0.45997403721332741</v>
      </c>
      <c r="AS37" s="178">
        <f>AW37-AO37-AK37-AG37</f>
        <v>2.4550000000000001</v>
      </c>
      <c r="AT37" s="278">
        <f>AS37/AS$34</f>
        <v>0.10999083245452676</v>
      </c>
      <c r="AU37" s="279">
        <f>AS37/Z37-1</f>
        <v>0.65990534144692337</v>
      </c>
      <c r="AV37" s="278">
        <f>AS37/AO37-1</f>
        <v>-0.27237700059276815</v>
      </c>
      <c r="AW37" s="346">
        <v>9.343</v>
      </c>
      <c r="AX37" s="347">
        <f>AW37/AW$34</f>
        <v>0.11515659472717638</v>
      </c>
      <c r="AY37" s="348">
        <f>AW37/AD37-1</f>
        <v>1.2442949795820319</v>
      </c>
      <c r="AZ37" s="281">
        <v>3.2469999999999999</v>
      </c>
      <c r="BA37" s="278">
        <f>AZ37/AZ$34</f>
        <v>0.15155192532088679</v>
      </c>
      <c r="BB37" s="279">
        <f>AZ37/AG37-1</f>
        <v>1.6990856192851203</v>
      </c>
      <c r="BC37" s="312">
        <f>AZ37/AS37-1</f>
        <v>0.32260692464358454</v>
      </c>
      <c r="BD37" s="178">
        <f>3.621-AZ37</f>
        <v>0.37400000000000011</v>
      </c>
      <c r="BE37" s="278">
        <f>BD37/BD$34</f>
        <v>2.5626697811555386E-2</v>
      </c>
      <c r="BF37" s="279">
        <f>BD37/AK37-1</f>
        <v>-0.83816529640848114</v>
      </c>
      <c r="BG37" s="312">
        <f>BD37/AZ37-1</f>
        <v>-0.88481675392670156</v>
      </c>
      <c r="BH37" s="178">
        <f>6.021-BD37-AZ37</f>
        <v>2.4000000000000004</v>
      </c>
      <c r="BI37" s="278">
        <f>BH37/BH$34</f>
        <v>0.12266879456135635</v>
      </c>
      <c r="BJ37" s="279">
        <f>BH37/AO37-1</f>
        <v>-0.28867812685240057</v>
      </c>
      <c r="BK37" s="312">
        <f>BH37/BD37-1</f>
        <v>5.4171122994652396</v>
      </c>
      <c r="BL37" s="178">
        <f>9.215-BH37-BD37-AZ37</f>
        <v>3.1939999999999991</v>
      </c>
      <c r="BM37" s="278">
        <f>BL37/BL$34</f>
        <v>0.15299157200373018</v>
      </c>
      <c r="BN37" s="279">
        <f>BL37/AS37-1</f>
        <v>0.30101832993889976</v>
      </c>
      <c r="BO37" s="278">
        <f>BL37/BH37-1</f>
        <v>0.33083333333333265</v>
      </c>
      <c r="BP37" s="346">
        <f>AZ37+BD37+BH37+BL37</f>
        <v>9.2149999999999999</v>
      </c>
      <c r="BQ37" s="347">
        <f>BP37/BP$34</f>
        <v>0.12051895737696341</v>
      </c>
      <c r="BR37" s="348">
        <f>BP37/AW37-1</f>
        <v>-1.3700096328802314E-2</v>
      </c>
      <c r="BS37" s="281">
        <v>2.137</v>
      </c>
      <c r="BT37" s="278">
        <f>BS37/BS$34</f>
        <v>0.10023185123398212</v>
      </c>
      <c r="BU37" s="279">
        <f>BS37/AZ37-1</f>
        <v>-0.34185401909454882</v>
      </c>
      <c r="BV37" s="312">
        <f>BS37/BL37-1</f>
        <v>-0.3309329993738257</v>
      </c>
      <c r="BW37" s="178">
        <v>2.6</v>
      </c>
      <c r="BX37" s="278">
        <f>BW37/BW$34</f>
        <v>8.817016788142551E-2</v>
      </c>
      <c r="BY37" s="279">
        <f>BW37/BD37-1</f>
        <v>5.9518716577540092</v>
      </c>
      <c r="BZ37" s="312">
        <f>BW37/BS37-1</f>
        <v>0.21665886757136166</v>
      </c>
      <c r="CA37" s="178">
        <v>4.5999999999999996</v>
      </c>
      <c r="CB37" s="278">
        <f>CA37/CA$34</f>
        <v>0.18810575420000278</v>
      </c>
      <c r="CC37" s="279">
        <f>CA37/BH37-1</f>
        <v>0.9166666666666663</v>
      </c>
      <c r="CD37" s="312">
        <f>CA37/BW37-1</f>
        <v>0.76923076923076894</v>
      </c>
      <c r="CE37" s="178">
        <f>CI37-CA37-BW37-BS37</f>
        <v>4.2840000000000007</v>
      </c>
      <c r="CF37" s="278">
        <f>CE37/CE$34</f>
        <v>0.1691386747226791</v>
      </c>
      <c r="CG37" s="279">
        <f>CE37/BL37-1</f>
        <v>0.34126487163431496</v>
      </c>
      <c r="CH37" s="278">
        <f>CE37/CA37-1</f>
        <v>-6.8695652173912825E-2</v>
      </c>
      <c r="CI37" s="346">
        <v>13.621</v>
      </c>
      <c r="CJ37" s="347">
        <f>CI37/CI$34</f>
        <v>0.1354070362748899</v>
      </c>
      <c r="CK37" s="348">
        <f>CI37/BP37-1</f>
        <v>0.47813347802495931</v>
      </c>
      <c r="CL37" s="281">
        <v>5.0670000000000002</v>
      </c>
      <c r="CM37" s="278">
        <f>CL37/CL$34</f>
        <v>0.14319222291301648</v>
      </c>
      <c r="CN37" s="279">
        <f>CL37/BS37-1</f>
        <v>1.3710809546092655</v>
      </c>
      <c r="CO37" s="312">
        <f>CL37/CE37-1</f>
        <v>0.18277310924369727</v>
      </c>
      <c r="CP37" s="178">
        <v>4</v>
      </c>
      <c r="CQ37" s="278">
        <f>CP37/CP$34</f>
        <v>0.12232041833583071</v>
      </c>
      <c r="CR37" s="279">
        <f t="shared" ref="CR37" si="130">CP37/BW37-1</f>
        <v>0.53846153846153832</v>
      </c>
      <c r="CS37" s="312">
        <f t="shared" si="107"/>
        <v>-0.21057825143082698</v>
      </c>
      <c r="CT37" s="178">
        <v>7.7</v>
      </c>
      <c r="CU37" s="278">
        <f>CT37/CT$34</f>
        <v>0.23148844060968646</v>
      </c>
      <c r="CV37" s="279">
        <f t="shared" ref="CV37" si="131">CT37/CA37-1</f>
        <v>0.67391304347826098</v>
      </c>
      <c r="CW37" s="312">
        <f t="shared" si="110"/>
        <v>0.92500000000000004</v>
      </c>
      <c r="CX37" s="178">
        <v>9.9</v>
      </c>
      <c r="CY37" s="278">
        <f>CX37/CX$34</f>
        <v>0.24469215749277046</v>
      </c>
      <c r="CZ37" s="279">
        <f>CX37/CE37-1</f>
        <v>1.3109243697478989</v>
      </c>
      <c r="DA37" s="278">
        <f t="shared" si="113"/>
        <v>0.28571428571428581</v>
      </c>
      <c r="DB37" s="346">
        <f>CL37+CP37+CT37+CX37</f>
        <v>26.667000000000002</v>
      </c>
      <c r="DC37" s="347">
        <f>DB37/DB$34</f>
        <v>0.18806197504918934</v>
      </c>
      <c r="DD37" s="348">
        <f>DB37/CI37-1</f>
        <v>0.95778577196975268</v>
      </c>
      <c r="DE37" s="281">
        <v>9.1059999999999999</v>
      </c>
      <c r="DF37" s="278">
        <f>DE37/DE$34</f>
        <v>0.23365013547910338</v>
      </c>
      <c r="DG37" s="279">
        <f t="shared" ref="DG37" si="132">DE37/CL37-1</f>
        <v>0.79711861061772238</v>
      </c>
      <c r="DH37" s="312">
        <f>DE37/CX37-1</f>
        <v>-8.0202020202020274E-2</v>
      </c>
      <c r="DI37" s="178">
        <v>13.492000000000001</v>
      </c>
      <c r="DJ37" s="278">
        <f>DI37/DI$34</f>
        <v>0.29397537858154482</v>
      </c>
      <c r="DK37" s="279">
        <f t="shared" ref="DK37" si="133">DI37/CP37-1</f>
        <v>2.3730000000000002</v>
      </c>
      <c r="DL37" s="312">
        <f t="shared" ref="DL37" si="134">DI37/DE37-1</f>
        <v>0.48166044366351857</v>
      </c>
      <c r="DM37" s="178">
        <f>36.291866-DI37-DE37</f>
        <v>13.693865999999998</v>
      </c>
      <c r="DN37" s="278">
        <f>DM37/DM$34</f>
        <v>0.28384010778318991</v>
      </c>
      <c r="DO37" s="279">
        <f t="shared" ref="DO37" si="135">DM37/CT37-1</f>
        <v>0.77842415584415559</v>
      </c>
      <c r="DP37" s="312">
        <f t="shared" si="124"/>
        <v>1.4961903350133143E-2</v>
      </c>
      <c r="DQ37" s="178"/>
      <c r="DR37" s="278"/>
      <c r="DS37" s="279"/>
      <c r="DT37" s="278"/>
      <c r="DU37" s="346"/>
      <c r="DV37" s="347"/>
      <c r="DW37" s="348"/>
    </row>
    <row r="38" spans="1:127" s="129" customFormat="1" ht="16.2" customHeight="1" x14ac:dyDescent="0.4">
      <c r="A38" s="127"/>
      <c r="B38" s="127"/>
      <c r="C38" s="127"/>
      <c r="D38" s="127"/>
      <c r="E38" s="127"/>
      <c r="F38" s="127"/>
      <c r="G38" s="126"/>
      <c r="H38" s="126"/>
      <c r="I38" s="126"/>
      <c r="J38" s="299"/>
      <c r="L38" s="126"/>
      <c r="N38" s="128"/>
      <c r="O38" s="128"/>
      <c r="P38" s="126"/>
      <c r="Q38" s="372"/>
      <c r="R38" s="128"/>
      <c r="S38" s="128"/>
      <c r="T38" s="126"/>
      <c r="U38" s="313"/>
      <c r="X38" s="126"/>
      <c r="Y38" s="313"/>
      <c r="AC38" s="313"/>
      <c r="AE38" s="126"/>
      <c r="AI38" s="126"/>
      <c r="AJ38" s="313"/>
      <c r="AM38" s="126"/>
      <c r="AN38" s="313"/>
      <c r="AQ38" s="126"/>
      <c r="AR38" s="313"/>
      <c r="AV38" s="313"/>
      <c r="AX38" s="126"/>
      <c r="BB38" s="126"/>
      <c r="BC38" s="313"/>
      <c r="BF38" s="126"/>
      <c r="BG38" s="313"/>
      <c r="BJ38" s="126"/>
      <c r="BK38" s="313"/>
      <c r="BO38" s="313"/>
      <c r="BQ38" s="126"/>
      <c r="BU38" s="126"/>
      <c r="BV38" s="313"/>
      <c r="BY38" s="126"/>
      <c r="BZ38" s="313"/>
      <c r="CC38" s="126"/>
      <c r="CD38" s="313"/>
      <c r="CH38" s="313"/>
      <c r="CJ38" s="126"/>
      <c r="CN38" s="126"/>
      <c r="CO38" s="313"/>
      <c r="CR38" s="126"/>
      <c r="CS38" s="313"/>
      <c r="CV38" s="126"/>
      <c r="CW38" s="313"/>
      <c r="DA38" s="313"/>
      <c r="DC38" s="126"/>
      <c r="DG38" s="126"/>
      <c r="DH38" s="313"/>
      <c r="DK38" s="126"/>
      <c r="DL38" s="313"/>
      <c r="DO38" s="126"/>
      <c r="DP38" s="313"/>
      <c r="DT38" s="313"/>
      <c r="DV38" s="126"/>
    </row>
    <row r="39" spans="1:127" s="129" customFormat="1" ht="16.95" customHeight="1" x14ac:dyDescent="0.4">
      <c r="A39" s="2"/>
      <c r="B39" s="2"/>
      <c r="C39" s="2"/>
      <c r="D39" s="2"/>
      <c r="E39" s="2"/>
      <c r="F39" s="2"/>
      <c r="G39" s="126"/>
      <c r="H39" s="126"/>
      <c r="I39" s="126"/>
      <c r="J39" s="299"/>
      <c r="M39" s="126"/>
      <c r="N39" s="126"/>
      <c r="O39" s="128"/>
      <c r="P39" s="128"/>
      <c r="Q39" s="373"/>
      <c r="R39" s="126"/>
      <c r="S39" s="128"/>
      <c r="T39" s="128"/>
      <c r="U39" s="299"/>
      <c r="Y39" s="299"/>
      <c r="AC39" s="313"/>
      <c r="AF39" s="126"/>
      <c r="AJ39" s="299"/>
      <c r="AN39" s="299"/>
      <c r="AR39" s="299"/>
      <c r="AV39" s="313"/>
      <c r="AY39" s="126"/>
      <c r="BC39" s="299"/>
      <c r="BG39" s="299"/>
      <c r="BK39" s="299"/>
      <c r="BO39" s="313"/>
      <c r="BR39" s="126"/>
      <c r="BV39" s="299"/>
      <c r="BZ39" s="299"/>
      <c r="CD39" s="299"/>
      <c r="CH39" s="313"/>
      <c r="CK39" s="126"/>
      <c r="CO39" s="299"/>
      <c r="CS39" s="299"/>
      <c r="CW39" s="299"/>
      <c r="DA39" s="313"/>
      <c r="DD39" s="126"/>
      <c r="DH39" s="299"/>
      <c r="DL39" s="299"/>
      <c r="DP39" s="299"/>
      <c r="DT39" s="313"/>
      <c r="DW39" s="126"/>
    </row>
    <row r="40" spans="1:127" ht="16.95" customHeight="1" x14ac:dyDescent="0.4">
      <c r="A40" s="2"/>
      <c r="B40" s="2"/>
      <c r="C40" s="2"/>
      <c r="D40" s="2"/>
      <c r="E40" s="2"/>
      <c r="F40" s="2"/>
      <c r="G40" s="5"/>
      <c r="H40" s="5"/>
      <c r="I40" s="95"/>
      <c r="J40" s="295"/>
    </row>
    <row r="41" spans="1:127" ht="16.95" customHeight="1" x14ac:dyDescent="0.4">
      <c r="A41" s="2"/>
      <c r="B41" s="2"/>
      <c r="C41" s="2"/>
      <c r="D41" s="2"/>
      <c r="E41" s="2"/>
      <c r="F41" s="2"/>
      <c r="G41" s="4"/>
      <c r="H41" s="4"/>
      <c r="I41" s="95"/>
      <c r="J41" s="295"/>
    </row>
    <row r="42" spans="1:127" ht="16.95" customHeight="1" x14ac:dyDescent="0.4">
      <c r="A42" s="2"/>
      <c r="B42" s="2"/>
      <c r="C42" s="2"/>
      <c r="D42" s="2"/>
      <c r="E42" s="2"/>
      <c r="F42" s="2"/>
      <c r="G42" s="4"/>
      <c r="H42" s="4"/>
      <c r="I42" s="95"/>
      <c r="J42" s="295"/>
    </row>
    <row r="43" spans="1:127" ht="16.95" customHeight="1" x14ac:dyDescent="0.4">
      <c r="A43" s="2"/>
      <c r="B43" s="2"/>
      <c r="C43" s="2"/>
      <c r="D43" s="2"/>
      <c r="E43" s="2"/>
      <c r="F43" s="2"/>
      <c r="G43" s="4"/>
      <c r="H43" s="4"/>
      <c r="I43" s="95"/>
      <c r="J43" s="295"/>
    </row>
  </sheetData>
  <phoneticPr fontId="3" type="noConversion"/>
  <conditionalFormatting sqref="F14">
    <cfRule type="cellIs" dxfId="269" priority="1" operator="equal">
      <formula>0</formula>
    </cfRule>
  </conditionalFormatting>
  <conditionalFormatting sqref="L3:L17">
    <cfRule type="cellIs" dxfId="268" priority="2" operator="equal">
      <formula>0</formula>
    </cfRule>
  </conditionalFormatting>
  <conditionalFormatting sqref="M13">
    <cfRule type="cellIs" dxfId="267" priority="56" operator="lessThan">
      <formula>0</formula>
    </cfRule>
    <cfRule type="cellIs" dxfId="266" priority="57" operator="greaterThan">
      <formula>0</formula>
    </cfRule>
  </conditionalFormatting>
  <conditionalFormatting sqref="M15">
    <cfRule type="cellIs" dxfId="265" priority="58" operator="lessThan">
      <formula>0</formula>
    </cfRule>
    <cfRule type="cellIs" dxfId="264" priority="59" operator="greaterThan">
      <formula>0</formula>
    </cfRule>
  </conditionalFormatting>
  <conditionalFormatting sqref="M17">
    <cfRule type="cellIs" dxfId="263" priority="34" operator="lessThan">
      <formula>0</formula>
    </cfRule>
    <cfRule type="cellIs" dxfId="262" priority="35" operator="greaterThan">
      <formula>0</formula>
    </cfRule>
  </conditionalFormatting>
  <conditionalFormatting sqref="N1:O2 R1:S2 V1:W2 Z1:AA2 AD1:AD2 AG1:AH2 AK1:AL2 AO1:AP2 AS1:AT2 AW1:AW2 AZ1:BA2 BD1:BE2 BH1:BI2 BL1:BM2 BP1:BP2 BS1:BT2 BW1:BX2 CA1:CB2 CE1:CF2 CI1:CI2 CL1:CM2 CP1:CQ2 CT1:CU2 CX1:CY2 DB1:DB2 DE1:DF2 DI1:DJ2 DM1:DN2 DQ1:DR2 DU1:DU2 D4:D8 F4:F13 P4:Q15 T4:U15 X4:Y15 AI4:AJ15 AM4:AN15 AQ4:AR15 BB4:BC15 BF4:BG15 BJ4:BK15 BU4:BV15 BY4:BZ15 CC4:CD15 CN4:CO15 CR4:CS15 CV4:CW15 DG4:DH15 DK4:DL15 DO4:DP15 AB4:AC17 AF4:AF17 AU4:AV17 AY4:AY17 BN4:BO17 BR4:BR17 CG4:CH17 CK4:CK17 CZ4:DA17 DD4:DD17 DS4:DT17 DW4:DW17 D15 F15 P16 T16 X16 AI16 AM16 AQ16 BB16 BF16 BJ16 BU16 BY16 CC16 CN16 CR16 CV16 DG16 DK16 DO16 P17:Q17 T17:U17 X17:Y17 AI17:AJ17 AM17:AN17 AQ17:AR17 BB17:BC17 BF17:BG17 BJ17:BK17 BU17:BV17 BY17:BZ17 CC17:CD17 CN17:CO17 CR17:CS17 CV17:CW17 DG17:DH17 DK17:DL17 DO17:DP17 N18:O19 R18:S19 V18:W19 Z18:AA19 AD18:AD19 AG18:AH19 AK18:AL19 AO18:AP19 AS18:AT19 AW18:AW19 AZ18:BA19 BD18:BE19 BH18:BI19 BL18:BM19 BP18:BP19 BS18:BT19 BW18:BX19 CA18:CB19 CE18:CF19 CI18:CI19 CL18:CM19 CP18:CQ19 CT18:CU19 CX18:CY19 DB18:DB19 DE18:DF19 DI18:DJ19 DM18:DN19 DQ18:DR19 DU18:DU19 P21:Q37 T21:U37 X21:Y37 AB21:AC37 AF21:AF37 AI21:AJ37 AM21:AN37 AQ21:AR37 AU21:AV37 AY21:AY37 BB21:BC37 BF21:BG37 BJ21:BK37 BN21:BO37 BR21:BR37 BU21:BV37 BY21:BZ37 CC21:CD37 CG21:CH37 CK21:CK37 CN21:CO37 CR21:CS37 CV21:CW37 CZ21:DA37 DD21:DD37 DG21:DH37 DK21:DL37 DO21:DP37 DS21:DT37 DW21:DW37 N38:O1048576 R38:S1048576 V38:W1048576 Z38:AA1048576 AD38:AD1048576 AG38:AH1048576 AK38:AL1048576 AO38:AP1048576 AS38:AT1048576 AW38:AW1048576 AZ38:BA1048576 BD38:BE1048576 BH38:BI1048576 BL38:BM1048576 BP38:BP1048576 BS38:BT1048576 BW38:BX1048576 CA38:CB1048576 CE38:CF1048576 CI38:CI1048576 CL38:CM1048576 CP38:CQ1048576 CT38:CU1048576 CX38:CY1048576 DB38:DB1048576 DE38:DF1048576 DI38:DJ1048576 DM38:DN1048576 DQ38:DR1048576 DU38:DU1048576">
    <cfRule type="cellIs" dxfId="261" priority="173" operator="lessThan">
      <formula>0</formula>
    </cfRule>
    <cfRule type="cellIs" dxfId="260" priority="174" operator="greaterThan">
      <formula>0</formula>
    </cfRule>
  </conditionalFormatting>
  <conditionalFormatting sqref="O3:O17 S3:S17 W3:W17 AA3:AA17 AH3:AH17 AL3:AL17 AP3:AP17 AT3:AT17 BA3:BA17 BE3:BE17 BT3:BT17 BX3:BX17">
    <cfRule type="cellIs" dxfId="259" priority="102" operator="equal">
      <formula>0</formula>
    </cfRule>
  </conditionalFormatting>
  <conditionalFormatting sqref="AE3:AE17">
    <cfRule type="cellIs" dxfId="258" priority="3" operator="equal">
      <formula>0</formula>
    </cfRule>
  </conditionalFormatting>
  <conditionalFormatting sqref="AX3:AX17">
    <cfRule type="cellIs" dxfId="257" priority="4" operator="equal">
      <formula>0</formula>
    </cfRule>
  </conditionalFormatting>
  <conditionalFormatting sqref="BI3:BI17">
    <cfRule type="cellIs" dxfId="256" priority="54" operator="equal">
      <formula>0</formula>
    </cfRule>
  </conditionalFormatting>
  <conditionalFormatting sqref="BM3:BM17">
    <cfRule type="cellIs" dxfId="255" priority="53" operator="equal">
      <formula>0</formula>
    </cfRule>
  </conditionalFormatting>
  <conditionalFormatting sqref="BQ3:BQ17">
    <cfRule type="cellIs" dxfId="254" priority="5" operator="equal">
      <formula>0</formula>
    </cfRule>
  </conditionalFormatting>
  <conditionalFormatting sqref="CB3:CB17">
    <cfRule type="cellIs" dxfId="253" priority="46" operator="equal">
      <formula>0</formula>
    </cfRule>
  </conditionalFormatting>
  <conditionalFormatting sqref="CF3:CF17">
    <cfRule type="cellIs" dxfId="252" priority="45" operator="equal">
      <formula>0</formula>
    </cfRule>
  </conditionalFormatting>
  <conditionalFormatting sqref="CJ3:CJ17">
    <cfRule type="cellIs" dxfId="251" priority="6" operator="equal">
      <formula>0</formula>
    </cfRule>
  </conditionalFormatting>
  <conditionalFormatting sqref="CM3:CM17">
    <cfRule type="cellIs" dxfId="250" priority="7" operator="equal">
      <formula>0</formula>
    </cfRule>
  </conditionalFormatting>
  <conditionalFormatting sqref="CQ3:CQ17">
    <cfRule type="cellIs" dxfId="249" priority="8" operator="equal">
      <formula>0</formula>
    </cfRule>
  </conditionalFormatting>
  <conditionalFormatting sqref="CU3:CU17">
    <cfRule type="cellIs" dxfId="248" priority="9" operator="equal">
      <formula>0</formula>
    </cfRule>
  </conditionalFormatting>
  <conditionalFormatting sqref="CY3:CY17">
    <cfRule type="cellIs" dxfId="247" priority="10" operator="equal">
      <formula>0</formula>
    </cfRule>
  </conditionalFormatting>
  <conditionalFormatting sqref="DC3:DC17">
    <cfRule type="cellIs" dxfId="246" priority="11" operator="equal">
      <formula>0</formula>
    </cfRule>
  </conditionalFormatting>
  <conditionalFormatting sqref="DF3:DF17">
    <cfRule type="cellIs" dxfId="245" priority="12" operator="equal">
      <formula>0</formula>
    </cfRule>
  </conditionalFormatting>
  <conditionalFormatting sqref="DJ3:DJ17">
    <cfRule type="cellIs" dxfId="244" priority="13" operator="equal">
      <formula>0</formula>
    </cfRule>
  </conditionalFormatting>
  <conditionalFormatting sqref="DN3:DN17">
    <cfRule type="cellIs" dxfId="243" priority="38" operator="equal">
      <formula>0</formula>
    </cfRule>
  </conditionalFormatting>
  <conditionalFormatting sqref="DR3:DR17">
    <cfRule type="cellIs" dxfId="242" priority="37" operator="equal">
      <formula>0</formula>
    </cfRule>
  </conditionalFormatting>
  <conditionalFormatting sqref="DR27">
    <cfRule type="cellIs" dxfId="241" priority="27" operator="equal">
      <formula>0</formula>
    </cfRule>
  </conditionalFormatting>
  <conditionalFormatting sqref="DV3:DV17">
    <cfRule type="cellIs" dxfId="240" priority="36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7" fitToWidth="0" orientation="landscape" r:id="rId1"/>
  <colBreaks count="6" manualBreakCount="6">
    <brk id="13" max="39" man="1"/>
    <brk id="32" max="39" man="1"/>
    <brk id="51" max="39" man="1"/>
    <brk id="70" max="39" man="1"/>
    <brk id="89" max="39" man="1"/>
    <brk id="108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70"/>
  <sheetViews>
    <sheetView tabSelected="1" view="pageBreakPreview" zoomScale="115" zoomScaleNormal="81" zoomScaleSheetLayoutView="115" workbookViewId="0">
      <pane xSplit="3" ySplit="1" topLeftCell="D57" activePane="bottomRight" state="frozen"/>
      <selection pane="topRight" activeCell="D1" sqref="D1"/>
      <selection pane="bottomLeft" activeCell="A2" sqref="A2"/>
      <selection pane="bottomRight" activeCell="D69" sqref="D69"/>
    </sheetView>
  </sheetViews>
  <sheetFormatPr defaultColWidth="8.69921875" defaultRowHeight="16.95" customHeight="1" x14ac:dyDescent="0.4"/>
  <cols>
    <col min="1" max="1" width="4.19921875" style="15" customWidth="1"/>
    <col min="2" max="2" width="17.796875" style="15" customWidth="1"/>
    <col min="3" max="3" width="18" style="15" customWidth="1"/>
    <col min="4" max="4" width="16.19921875" style="15" customWidth="1"/>
    <col min="5" max="5" width="7.19921875" style="14" customWidth="1"/>
    <col min="6" max="6" width="15.3984375" style="15" bestFit="1" customWidth="1"/>
    <col min="7" max="7" width="7.19921875" style="14" customWidth="1"/>
    <col min="8" max="8" width="15.3984375" style="15" bestFit="1" customWidth="1"/>
    <col min="9" max="9" width="7.19921875" style="14" customWidth="1"/>
    <col min="10" max="10" width="15.3984375" style="15" bestFit="1" customWidth="1"/>
    <col min="11" max="11" width="7.19921875" style="14" customWidth="1"/>
    <col min="12" max="12" width="15.3984375" style="15" customWidth="1"/>
    <col min="13" max="13" width="7.19921875" style="14" customWidth="1"/>
    <col min="14" max="14" width="15.3984375" style="15" customWidth="1"/>
    <col min="15" max="15" width="7.19921875" style="14" customWidth="1"/>
    <col min="16" max="16" width="15.3984375" style="15" customWidth="1"/>
    <col min="17" max="17" width="7.69921875" style="14" customWidth="1"/>
    <col min="18" max="18" width="15.3984375" style="15" bestFit="1" customWidth="1"/>
    <col min="19" max="19" width="7.3984375" style="15" customWidth="1"/>
    <col min="20" max="20" width="16.69921875" style="15" customWidth="1"/>
    <col min="21" max="21" width="5.59765625" style="15" customWidth="1"/>
    <col min="22" max="22" width="16.69921875" style="15" customWidth="1"/>
    <col min="23" max="23" width="5.59765625" style="15" customWidth="1"/>
    <col min="24" max="24" width="16.69921875" style="15" customWidth="1"/>
    <col min="25" max="25" width="5.59765625" style="15" customWidth="1"/>
    <col min="26" max="26" width="16.69921875" style="15" customWidth="1"/>
    <col min="27" max="27" width="5.59765625" style="15" customWidth="1"/>
    <col min="28" max="28" width="16.69921875" style="15" customWidth="1"/>
    <col min="29" max="29" width="5.59765625" style="15" customWidth="1"/>
    <col min="30" max="30" width="16.69921875" style="15" customWidth="1"/>
    <col min="31" max="31" width="5.59765625" style="15" customWidth="1"/>
    <col min="32" max="32" width="21.19921875" style="15" customWidth="1"/>
    <col min="33" max="33" width="5.59765625" style="15" customWidth="1"/>
    <col min="34" max="34" width="16.69921875" style="15" customWidth="1"/>
    <col min="35" max="35" width="5.59765625" style="15" customWidth="1"/>
    <col min="36" max="36" width="16.69921875" style="15" customWidth="1"/>
    <col min="37" max="37" width="5.59765625" style="15" customWidth="1"/>
    <col min="38" max="38" width="16.69921875" style="15" customWidth="1"/>
    <col min="39" max="39" width="5.59765625" style="15" customWidth="1"/>
    <col min="40" max="40" width="16.69921875" style="15" customWidth="1"/>
    <col min="41" max="41" width="5.59765625" style="15" customWidth="1"/>
    <col min="42" max="42" width="16.69921875" style="15" customWidth="1"/>
    <col min="43" max="43" width="5.59765625" style="15" customWidth="1"/>
    <col min="44" max="44" width="16.69921875" style="15" customWidth="1"/>
    <col min="45" max="45" width="5.59765625" style="15" customWidth="1"/>
    <col min="46" max="46" width="16.69921875" style="15" customWidth="1"/>
    <col min="47" max="16384" width="8.69921875" style="15"/>
  </cols>
  <sheetData>
    <row r="1" spans="1:46" ht="16.95" customHeight="1" x14ac:dyDescent="0.4">
      <c r="B1" s="12"/>
      <c r="C1" s="25" t="s">
        <v>47</v>
      </c>
      <c r="D1" s="125" t="s">
        <v>198</v>
      </c>
      <c r="E1" s="17" t="s">
        <v>49</v>
      </c>
      <c r="F1" s="125" t="s">
        <v>48</v>
      </c>
      <c r="G1" s="17" t="s">
        <v>49</v>
      </c>
      <c r="H1" s="125" t="s">
        <v>50</v>
      </c>
      <c r="I1" s="17" t="s">
        <v>49</v>
      </c>
      <c r="J1" s="125" t="s">
        <v>51</v>
      </c>
      <c r="K1" s="17" t="s">
        <v>49</v>
      </c>
      <c r="L1" s="125" t="s">
        <v>52</v>
      </c>
      <c r="M1" s="17" t="s">
        <v>9</v>
      </c>
      <c r="N1" s="125" t="s">
        <v>53</v>
      </c>
      <c r="O1" s="17" t="s">
        <v>9</v>
      </c>
      <c r="P1" s="112" t="s">
        <v>54</v>
      </c>
      <c r="Q1" s="17" t="s">
        <v>9</v>
      </c>
      <c r="R1" s="18" t="s">
        <v>55</v>
      </c>
      <c r="S1" s="18" t="s">
        <v>9</v>
      </c>
      <c r="T1" s="18" t="s">
        <v>56</v>
      </c>
      <c r="U1" s="18" t="s">
        <v>9</v>
      </c>
      <c r="V1" s="18" t="s">
        <v>57</v>
      </c>
      <c r="W1" s="18" t="s">
        <v>9</v>
      </c>
      <c r="X1" s="18" t="s">
        <v>58</v>
      </c>
      <c r="Y1" s="18" t="s">
        <v>9</v>
      </c>
      <c r="Z1" s="18" t="s">
        <v>59</v>
      </c>
      <c r="AA1" s="18" t="s">
        <v>9</v>
      </c>
      <c r="AB1" s="18" t="s">
        <v>60</v>
      </c>
      <c r="AC1" s="18" t="s">
        <v>9</v>
      </c>
      <c r="AD1" s="18" t="s">
        <v>61</v>
      </c>
      <c r="AE1" s="18" t="s">
        <v>9</v>
      </c>
      <c r="AF1" s="18" t="s">
        <v>62</v>
      </c>
      <c r="AG1" s="18" t="s">
        <v>9</v>
      </c>
      <c r="AH1" s="18" t="s">
        <v>63</v>
      </c>
      <c r="AI1" s="18" t="s">
        <v>7</v>
      </c>
      <c r="AJ1" s="18" t="s">
        <v>64</v>
      </c>
      <c r="AK1" s="18" t="s">
        <v>7</v>
      </c>
      <c r="AL1" s="18" t="s">
        <v>65</v>
      </c>
      <c r="AM1" s="18" t="s">
        <v>7</v>
      </c>
      <c r="AN1" s="18" t="s">
        <v>66</v>
      </c>
      <c r="AO1" s="18" t="s">
        <v>7</v>
      </c>
      <c r="AP1" s="18" t="s">
        <v>67</v>
      </c>
      <c r="AQ1" s="18" t="s">
        <v>7</v>
      </c>
      <c r="AR1" s="18" t="s">
        <v>68</v>
      </c>
      <c r="AS1" s="18" t="s">
        <v>7</v>
      </c>
      <c r="AT1" s="19" t="s">
        <v>69</v>
      </c>
    </row>
    <row r="2" spans="1:46" s="70" customFormat="1" ht="16.95" customHeight="1" x14ac:dyDescent="0.4">
      <c r="A2" s="70">
        <v>1</v>
      </c>
      <c r="B2" s="65" t="s">
        <v>70</v>
      </c>
      <c r="C2" s="66" t="s">
        <v>71</v>
      </c>
      <c r="D2" s="78">
        <f>D12+D3</f>
        <v>363110049245</v>
      </c>
      <c r="E2" s="88">
        <f>IFERROR(D2/F2-1,0)</f>
        <v>9.9385654594128514E-3</v>
      </c>
      <c r="F2" s="78">
        <f>F12+F3</f>
        <v>359536769526</v>
      </c>
      <c r="G2" s="88">
        <f>IFERROR(F2/H2-1,0)</f>
        <v>2.0314852417883555E-2</v>
      </c>
      <c r="H2" s="78">
        <f>H12+H3</f>
        <v>352378257235</v>
      </c>
      <c r="I2" s="88">
        <f>IFERROR(H2/J2-1,0)</f>
        <v>6.3266282906496274E-2</v>
      </c>
      <c r="J2" s="78">
        <f>J12+J3</f>
        <v>331411108299</v>
      </c>
      <c r="K2" s="88">
        <f>IFERROR(J2/L2-1,0)</f>
        <v>-8.6242940200053075E-3</v>
      </c>
      <c r="L2" s="78">
        <f>L12+L3</f>
        <v>334294159419</v>
      </c>
      <c r="M2" s="88">
        <f t="shared" ref="M2:M45" si="0">IFERROR(L2/N2-1,0)</f>
        <v>7.0829102296592561E-2</v>
      </c>
      <c r="N2" s="78">
        <f>N12+N3</f>
        <v>312182549673</v>
      </c>
      <c r="O2" s="88">
        <f t="shared" ref="O2:O45" si="1">IFERROR(N2/P2-1,0)</f>
        <v>2.6660242251268729E-2</v>
      </c>
      <c r="P2" s="78">
        <f>P12+P3</f>
        <v>304075814788</v>
      </c>
      <c r="Q2" s="88">
        <f t="shared" ref="Q2:Q45" si="2">IFERROR(P2/R2-1,0)</f>
        <v>0.40529130013127701</v>
      </c>
      <c r="R2" s="78">
        <f>R12+R3</f>
        <v>216379205336</v>
      </c>
      <c r="S2" s="88">
        <f t="shared" ref="S2:S45" si="3">IFERROR(R2/T2-1,0)</f>
        <v>0.24602533712961816</v>
      </c>
      <c r="T2" s="78">
        <f>T12+T3</f>
        <v>173655542057</v>
      </c>
      <c r="U2" s="88">
        <f t="shared" ref="U2:U45" si="4">IFERROR(T2/V2-1,0)</f>
        <v>9.2034166753214075E-2</v>
      </c>
      <c r="V2" s="78">
        <f>V12+V3</f>
        <v>159020246201</v>
      </c>
      <c r="W2" s="88">
        <f t="shared" ref="W2:W45" si="5">IFERROR(V2/X2-1,0)</f>
        <v>6.90278415021226E-2</v>
      </c>
      <c r="X2" s="78">
        <f>X12+X3</f>
        <v>148752202728</v>
      </c>
      <c r="Y2" s="88">
        <f t="shared" ref="Y2:Y45" si="6">IFERROR(X2/Z2-1,0)</f>
        <v>8.1628760096450481E-2</v>
      </c>
      <c r="Z2" s="78">
        <f>Z12+Z3</f>
        <v>137526116368</v>
      </c>
      <c r="AA2" s="88">
        <f t="shared" ref="AA2:AA45" si="7">IFERROR(Z2/AB2-1,0)</f>
        <v>0.11167072051969162</v>
      </c>
      <c r="AB2" s="78">
        <f>AB12+AB3</f>
        <v>123711197776</v>
      </c>
      <c r="AC2" s="88">
        <f t="shared" ref="AC2:AC45" si="8">IFERROR(AB2/AD2-1,0)</f>
        <v>4.9523206616588489E-3</v>
      </c>
      <c r="AD2" s="78">
        <f>AD12+AD3</f>
        <v>123101559380</v>
      </c>
      <c r="AE2" s="88">
        <f t="shared" ref="AE2:AE45" si="9">IFERROR(AD2/AF2-1,0)</f>
        <v>-1.6864939398270162E-2</v>
      </c>
      <c r="AF2" s="78">
        <f>AF12+AF3</f>
        <v>125213273652</v>
      </c>
      <c r="AG2" s="88">
        <f>AF2/AN2-1</f>
        <v>0.10167246612913439</v>
      </c>
      <c r="AH2" s="78">
        <f>AH12+AH3</f>
        <v>331420936273</v>
      </c>
      <c r="AI2" s="88">
        <f>IFERROR(AH2/AJ2-1,0)</f>
        <v>0.53166722171088399</v>
      </c>
      <c r="AJ2" s="78">
        <f>AJ12+AJ3</f>
        <v>216379205336</v>
      </c>
      <c r="AK2" s="88">
        <f t="shared" ref="AK2:AK45" si="10">IFERROR(AJ2/AL2-1,0)</f>
        <v>0.57336810673109206</v>
      </c>
      <c r="AL2" s="78">
        <v>137526116368</v>
      </c>
      <c r="AM2" s="88">
        <f t="shared" ref="AM2:AM45" si="11">IFERROR(AL2/AN2-1,0)</f>
        <v>0.21000538806595492</v>
      </c>
      <c r="AN2" s="78">
        <f>AN12+AN3</f>
        <v>113657441301</v>
      </c>
      <c r="AO2" s="88">
        <f t="shared" ref="AO2:AO45" si="12">IFERROR(AN2/AP2-1,0)</f>
        <v>0.50187156417414225</v>
      </c>
      <c r="AP2" s="78">
        <f>AP12+AP3</f>
        <v>75677204371</v>
      </c>
      <c r="AQ2" s="88">
        <f t="shared" ref="AQ2:AQ45" si="13">IFERROR(AP2/AR2-1,0)</f>
        <v>0.19816116385677218</v>
      </c>
      <c r="AR2" s="78">
        <f>AR12+AR3</f>
        <v>63161122772</v>
      </c>
      <c r="AS2" s="88">
        <f t="shared" ref="AS2:AS45" si="14">IFERROR(AR2/AT2-1,0)</f>
        <v>1.8657449476024195</v>
      </c>
      <c r="AT2" s="78">
        <f>AT12+AT3</f>
        <v>22040036335</v>
      </c>
    </row>
    <row r="3" spans="1:46" s="101" customFormat="1" ht="16.95" customHeight="1" x14ac:dyDescent="0.4">
      <c r="A3" s="101">
        <v>2</v>
      </c>
      <c r="B3" s="76" t="s">
        <v>72</v>
      </c>
      <c r="C3" s="77" t="s">
        <v>73</v>
      </c>
      <c r="D3" s="97">
        <f>SUM(D4:D11)</f>
        <v>174594219093</v>
      </c>
      <c r="E3" s="116">
        <f t="shared" ref="E3:E15" si="15">IFERROR(D3/F3-1,0)</f>
        <v>1.9185940379255584E-2</v>
      </c>
      <c r="F3" s="97">
        <f>SUM(F4:F11)</f>
        <v>171307523167</v>
      </c>
      <c r="G3" s="116">
        <f t="shared" ref="G3:AS15" si="16">IFERROR(F3/H3-1,0)</f>
        <v>1.6127893951092709E-2</v>
      </c>
      <c r="H3" s="97">
        <f>SUM(H4:H11)</f>
        <v>168588544992</v>
      </c>
      <c r="I3" s="116">
        <f t="shared" ref="I3:I15" si="17">IFERROR(H3/J3-1,0)</f>
        <v>0.1407405002553419</v>
      </c>
      <c r="J3" s="97">
        <f>SUM(J4:J11)</f>
        <v>147788690727</v>
      </c>
      <c r="K3" s="116">
        <f t="shared" ref="K3:K45" si="18">IFERROR(J3/L3-1,0)</f>
        <v>0.19651363501284069</v>
      </c>
      <c r="L3" s="97">
        <f>SUM(L4:L11)</f>
        <v>123516094094</v>
      </c>
      <c r="M3" s="116">
        <f t="shared" si="0"/>
        <v>0.21941056761198729</v>
      </c>
      <c r="N3" s="97">
        <f>SUM(N4:N11)</f>
        <v>101291638251</v>
      </c>
      <c r="O3" s="116">
        <f t="shared" si="1"/>
        <v>9.2504094891291855E-2</v>
      </c>
      <c r="P3" s="97">
        <f>SUM(P4:P11)</f>
        <v>92715110840</v>
      </c>
      <c r="Q3" s="116">
        <f t="shared" si="2"/>
        <v>0.26763856567797295</v>
      </c>
      <c r="R3" s="97">
        <f>SUM(R4:R11)</f>
        <v>73140020626</v>
      </c>
      <c r="S3" s="98">
        <f t="shared" si="3"/>
        <v>-0.20790841599015597</v>
      </c>
      <c r="T3" s="97">
        <f>SUM(T4:T11)</f>
        <v>92337833279</v>
      </c>
      <c r="U3" s="98">
        <f t="shared" si="4"/>
        <v>5.326687658088014E-2</v>
      </c>
      <c r="V3" s="97">
        <f>SUM(V4:V11)</f>
        <v>87668031087</v>
      </c>
      <c r="W3" s="98">
        <f t="shared" si="5"/>
        <v>-4.8188811723476443E-2</v>
      </c>
      <c r="X3" s="97">
        <f>SUM(X4:X11)</f>
        <v>92106535589</v>
      </c>
      <c r="Y3" s="98">
        <f t="shared" si="6"/>
        <v>0.10955168398046511</v>
      </c>
      <c r="Z3" s="97">
        <f>SUM(Z4:Z11)</f>
        <v>83012388624</v>
      </c>
      <c r="AA3" s="98">
        <f t="shared" si="7"/>
        <v>0.21353373178864654</v>
      </c>
      <c r="AB3" s="97">
        <f>SUM(AB4:AB11)</f>
        <v>68405505714</v>
      </c>
      <c r="AC3" s="98">
        <f t="shared" si="8"/>
        <v>8.9737657112325397E-3</v>
      </c>
      <c r="AD3" s="97">
        <v>67797110330</v>
      </c>
      <c r="AE3" s="98">
        <f t="shared" si="9"/>
        <v>-2.2963950761513474E-2</v>
      </c>
      <c r="AF3" s="99">
        <v>69390592479</v>
      </c>
      <c r="AG3" s="98">
        <f t="shared" ref="AG3:AG45" si="19">AF3/AN3-1</f>
        <v>0.20371262482023256</v>
      </c>
      <c r="AH3" s="97">
        <f>SUM(AH4:AH11)</f>
        <v>147788690727</v>
      </c>
      <c r="AI3" s="98">
        <f t="shared" ref="AI3:AI45" si="20">IFERROR(AH3/AJ3-1,0)</f>
        <v>1.0206268669613103</v>
      </c>
      <c r="AJ3" s="97">
        <f>SUM(AJ4:AJ11)</f>
        <v>73140020626</v>
      </c>
      <c r="AK3" s="98">
        <f t="shared" si="10"/>
        <v>-0.11892644172325095</v>
      </c>
      <c r="AL3" s="99">
        <v>83012388624</v>
      </c>
      <c r="AM3" s="98">
        <f t="shared" si="11"/>
        <v>0.4400087480652719</v>
      </c>
      <c r="AN3" s="99">
        <v>57647141891</v>
      </c>
      <c r="AO3" s="98">
        <f t="shared" si="12"/>
        <v>1.1671590455663146</v>
      </c>
      <c r="AP3" s="99">
        <v>26600328208</v>
      </c>
      <c r="AQ3" s="98">
        <f t="shared" si="13"/>
        <v>-3.9111372769752517E-2</v>
      </c>
      <c r="AR3" s="99">
        <v>27683050308</v>
      </c>
      <c r="AS3" s="98">
        <f t="shared" si="14"/>
        <v>0.50451552923022813</v>
      </c>
      <c r="AT3" s="100">
        <v>18399976451</v>
      </c>
    </row>
    <row r="4" spans="1:46" ht="16.95" customHeight="1" x14ac:dyDescent="0.4">
      <c r="A4" s="70">
        <v>3</v>
      </c>
      <c r="B4" s="26" t="s">
        <v>74</v>
      </c>
      <c r="C4" s="27" t="s">
        <v>243</v>
      </c>
      <c r="D4" s="80">
        <v>6940665501</v>
      </c>
      <c r="E4" s="59">
        <f t="shared" si="15"/>
        <v>-0.31171181341232224</v>
      </c>
      <c r="F4" s="80">
        <v>10083952676</v>
      </c>
      <c r="G4" s="59">
        <f t="shared" si="16"/>
        <v>-0.23506683130368256</v>
      </c>
      <c r="H4" s="80">
        <v>13182789149</v>
      </c>
      <c r="I4" s="59">
        <f t="shared" si="17"/>
        <v>-0.49305710434391892</v>
      </c>
      <c r="J4" s="80">
        <v>26004485440</v>
      </c>
      <c r="K4" s="59">
        <f t="shared" si="18"/>
        <v>-0.60994280404065593</v>
      </c>
      <c r="L4" s="80">
        <v>66668390455</v>
      </c>
      <c r="M4" s="59">
        <f t="shared" si="0"/>
        <v>0.38764645699841549</v>
      </c>
      <c r="N4" s="80">
        <v>48044219130</v>
      </c>
      <c r="O4" s="59">
        <f t="shared" si="1"/>
        <v>-0.16410840494350309</v>
      </c>
      <c r="P4" s="80">
        <v>57476614688</v>
      </c>
      <c r="Q4" s="59">
        <f t="shared" si="2"/>
        <v>0.34328020393272185</v>
      </c>
      <c r="R4" s="80">
        <v>42788254096</v>
      </c>
      <c r="S4" s="59">
        <f t="shared" si="3"/>
        <v>-0.29629595493416383</v>
      </c>
      <c r="T4" s="80">
        <v>60804331588</v>
      </c>
      <c r="U4" s="59">
        <f t="shared" si="4"/>
        <v>-2.3459166599397174E-2</v>
      </c>
      <c r="V4" s="80">
        <v>62265016995</v>
      </c>
      <c r="W4" s="59">
        <f t="shared" si="5"/>
        <v>-6.8612738686354757E-2</v>
      </c>
      <c r="X4" s="80">
        <v>66851909599</v>
      </c>
      <c r="Y4" s="59">
        <f t="shared" si="6"/>
        <v>3.8339230192787621E-2</v>
      </c>
      <c r="Z4" s="80">
        <v>64383495928</v>
      </c>
      <c r="AA4" s="59">
        <f t="shared" si="7"/>
        <v>0.30480779697062799</v>
      </c>
      <c r="AB4" s="80">
        <v>49343279583</v>
      </c>
      <c r="AC4" s="59">
        <f t="shared" si="8"/>
        <v>0.21498156626145759</v>
      </c>
      <c r="AD4" s="80">
        <v>40612368906</v>
      </c>
      <c r="AE4" s="59">
        <f t="shared" si="9"/>
        <v>-4.7384385989780453E-2</v>
      </c>
      <c r="AF4" s="21">
        <v>42632482933</v>
      </c>
      <c r="AG4" s="59">
        <f t="shared" si="19"/>
        <v>0.25476359923811098</v>
      </c>
      <c r="AH4" s="80">
        <v>26004485440</v>
      </c>
      <c r="AI4" s="59">
        <f t="shared" si="20"/>
        <v>-0.39225177588091886</v>
      </c>
      <c r="AJ4" s="80">
        <v>42788254096</v>
      </c>
      <c r="AK4" s="59">
        <f t="shared" si="10"/>
        <v>-0.33541580059818343</v>
      </c>
      <c r="AL4" s="21">
        <v>64383495928</v>
      </c>
      <c r="AM4" s="59">
        <f t="shared" si="11"/>
        <v>0.89494163896366596</v>
      </c>
      <c r="AN4" s="21">
        <v>33976505980</v>
      </c>
      <c r="AO4" s="59">
        <f t="shared" si="12"/>
        <v>2.2447661315771259</v>
      </c>
      <c r="AP4" s="21">
        <v>10471172529</v>
      </c>
      <c r="AQ4" s="59">
        <f t="shared" si="13"/>
        <v>-0.45519198043662989</v>
      </c>
      <c r="AR4" s="21">
        <v>19219930972</v>
      </c>
      <c r="AS4" s="59">
        <f t="shared" si="14"/>
        <v>0.59686374481868043</v>
      </c>
      <c r="AT4" s="24">
        <v>12036049434</v>
      </c>
    </row>
    <row r="5" spans="1:46" ht="16.95" customHeight="1" x14ac:dyDescent="0.4">
      <c r="A5" s="101">
        <v>4</v>
      </c>
      <c r="B5" s="29" t="s">
        <v>75</v>
      </c>
      <c r="C5" s="30" t="s">
        <v>241</v>
      </c>
      <c r="D5" s="81">
        <v>88135269900</v>
      </c>
      <c r="E5" s="59">
        <f t="shared" si="15"/>
        <v>-8.2679588723934216E-2</v>
      </c>
      <c r="F5" s="81">
        <v>96079045900</v>
      </c>
      <c r="G5" s="59">
        <f t="shared" si="16"/>
        <v>5.8416445793962879E-3</v>
      </c>
      <c r="H5" s="81">
        <v>95521045900</v>
      </c>
      <c r="I5" s="59">
        <f t="shared" si="17"/>
        <v>0.46107032150058336</v>
      </c>
      <c r="J5" s="81">
        <v>65377445900</v>
      </c>
      <c r="K5" s="59">
        <f t="shared" si="18"/>
        <v>2.5695565308477972</v>
      </c>
      <c r="L5" s="81">
        <v>18315285200</v>
      </c>
      <c r="M5" s="59">
        <f t="shared" si="0"/>
        <v>-8.4235740000000003E-2</v>
      </c>
      <c r="N5" s="81">
        <v>20000000000</v>
      </c>
      <c r="O5" s="59">
        <f t="shared" si="1"/>
        <v>0</v>
      </c>
      <c r="P5" s="81">
        <v>0</v>
      </c>
      <c r="Q5" s="59">
        <f t="shared" si="2"/>
        <v>0</v>
      </c>
      <c r="R5" s="81">
        <v>0</v>
      </c>
      <c r="S5" s="59">
        <f t="shared" si="3"/>
        <v>-1</v>
      </c>
      <c r="T5" s="81">
        <v>3240706464</v>
      </c>
      <c r="U5" s="59">
        <f t="shared" si="4"/>
        <v>0</v>
      </c>
      <c r="V5" s="81">
        <v>3240706464</v>
      </c>
      <c r="W5" s="59">
        <f t="shared" si="5"/>
        <v>0</v>
      </c>
      <c r="X5" s="81">
        <v>3240706464</v>
      </c>
      <c r="Y5" s="59">
        <f t="shared" si="6"/>
        <v>0</v>
      </c>
      <c r="Z5" s="81">
        <v>3240706464</v>
      </c>
      <c r="AA5" s="59">
        <f t="shared" si="7"/>
        <v>0</v>
      </c>
      <c r="AB5" s="81">
        <v>3240706464</v>
      </c>
      <c r="AC5" s="59">
        <f t="shared" si="8"/>
        <v>-0.55243228266296418</v>
      </c>
      <c r="AD5" s="81">
        <v>7240706464</v>
      </c>
      <c r="AE5" s="59">
        <f t="shared" si="9"/>
        <v>3.4386637714285628E-2</v>
      </c>
      <c r="AF5" s="21">
        <v>7000000000</v>
      </c>
      <c r="AG5" s="59">
        <f t="shared" si="19"/>
        <v>0</v>
      </c>
      <c r="AH5" s="81">
        <v>65377445900</v>
      </c>
      <c r="AI5" s="59">
        <f t="shared" si="20"/>
        <v>0</v>
      </c>
      <c r="AJ5" s="81">
        <v>0</v>
      </c>
      <c r="AK5" s="59">
        <f t="shared" si="10"/>
        <v>-1</v>
      </c>
      <c r="AL5" s="21">
        <v>3240706464</v>
      </c>
      <c r="AM5" s="59">
        <f t="shared" si="11"/>
        <v>-0.53704193371428577</v>
      </c>
      <c r="AN5" s="21">
        <v>7000000000</v>
      </c>
      <c r="AO5" s="59">
        <f t="shared" si="12"/>
        <v>0.16666666666666674</v>
      </c>
      <c r="AP5" s="21">
        <v>6000000000</v>
      </c>
      <c r="AQ5" s="59">
        <f t="shared" si="13"/>
        <v>28.423904518488271</v>
      </c>
      <c r="AR5" s="21">
        <v>203915833</v>
      </c>
      <c r="AS5" s="59">
        <f t="shared" si="14"/>
        <v>0</v>
      </c>
      <c r="AT5" s="24">
        <v>0</v>
      </c>
    </row>
    <row r="6" spans="1:46" ht="16.95" customHeight="1" x14ac:dyDescent="0.4">
      <c r="A6" s="70">
        <v>5</v>
      </c>
      <c r="B6" s="26" t="s">
        <v>76</v>
      </c>
      <c r="C6" s="27" t="s">
        <v>240</v>
      </c>
      <c r="D6" s="80">
        <v>27834790328</v>
      </c>
      <c r="E6" s="59">
        <f t="shared" si="15"/>
        <v>0.13132804559020905</v>
      </c>
      <c r="F6" s="80">
        <v>24603642097</v>
      </c>
      <c r="G6" s="59">
        <f t="shared" si="16"/>
        <v>0.20639679096711827</v>
      </c>
      <c r="H6" s="80">
        <v>20394319913</v>
      </c>
      <c r="I6" s="59">
        <f t="shared" si="17"/>
        <v>9.6880143448523359E-3</v>
      </c>
      <c r="J6" s="80">
        <v>20198635245</v>
      </c>
      <c r="K6" s="59">
        <f t="shared" si="18"/>
        <v>0</v>
      </c>
      <c r="L6" s="80" t="s">
        <v>32</v>
      </c>
      <c r="M6" s="59">
        <f t="shared" si="0"/>
        <v>0</v>
      </c>
      <c r="N6" s="80">
        <v>0</v>
      </c>
      <c r="O6" s="59">
        <f t="shared" si="1"/>
        <v>0</v>
      </c>
      <c r="P6" s="80">
        <v>0</v>
      </c>
      <c r="Q6" s="59">
        <f t="shared" si="2"/>
        <v>-1</v>
      </c>
      <c r="R6" s="80">
        <v>5125081461</v>
      </c>
      <c r="S6" s="91">
        <f t="shared" si="3"/>
        <v>-9.8618391884044421E-3</v>
      </c>
      <c r="T6" s="80">
        <v>5176127599</v>
      </c>
      <c r="U6" s="91">
        <f t="shared" si="4"/>
        <v>3.4475141738856685E-2</v>
      </c>
      <c r="V6" s="80">
        <v>5003626854</v>
      </c>
      <c r="W6" s="91">
        <f t="shared" si="5"/>
        <v>8.3650251611167015E-3</v>
      </c>
      <c r="X6" s="80">
        <v>4962118607</v>
      </c>
      <c r="Y6" s="91">
        <f t="shared" si="6"/>
        <v>0</v>
      </c>
      <c r="Z6" s="80">
        <v>0</v>
      </c>
      <c r="AA6" s="91">
        <f t="shared" si="7"/>
        <v>0</v>
      </c>
      <c r="AB6" s="80">
        <v>0</v>
      </c>
      <c r="AC6" s="91">
        <f t="shared" si="8"/>
        <v>-1</v>
      </c>
      <c r="AD6" s="80">
        <v>4072458853</v>
      </c>
      <c r="AE6" s="91">
        <f t="shared" si="9"/>
        <v>1.4350738381433414E-2</v>
      </c>
      <c r="AF6" s="21">
        <v>4014842893</v>
      </c>
      <c r="AG6" s="59">
        <f t="shared" si="19"/>
        <v>-8.0638801281655015E-3</v>
      </c>
      <c r="AH6" s="80">
        <v>20198635245</v>
      </c>
      <c r="AI6" s="59">
        <f t="shared" si="20"/>
        <v>2.9411344773159693</v>
      </c>
      <c r="AJ6" s="80">
        <v>5125081461</v>
      </c>
      <c r="AK6" s="59">
        <f t="shared" si="10"/>
        <v>0</v>
      </c>
      <c r="AL6" s="21">
        <v>0</v>
      </c>
      <c r="AM6" s="59">
        <f t="shared" si="11"/>
        <v>-1</v>
      </c>
      <c r="AN6" s="21">
        <v>4047481297</v>
      </c>
      <c r="AO6" s="59">
        <f t="shared" si="12"/>
        <v>0</v>
      </c>
      <c r="AP6" s="21"/>
      <c r="AQ6" s="59">
        <f t="shared" si="13"/>
        <v>0</v>
      </c>
      <c r="AR6" s="21"/>
      <c r="AS6" s="59">
        <f t="shared" si="14"/>
        <v>0</v>
      </c>
      <c r="AT6" s="24"/>
    </row>
    <row r="7" spans="1:46" ht="16.95" customHeight="1" x14ac:dyDescent="0.4">
      <c r="A7" s="101">
        <v>6</v>
      </c>
      <c r="B7" s="29" t="s">
        <v>77</v>
      </c>
      <c r="C7" s="30" t="s">
        <v>237</v>
      </c>
      <c r="D7" s="81">
        <v>17429199883</v>
      </c>
      <c r="E7" s="59">
        <f t="shared" si="15"/>
        <v>0.27648361883369099</v>
      </c>
      <c r="F7" s="81">
        <v>13654072505</v>
      </c>
      <c r="G7" s="59">
        <f t="shared" si="16"/>
        <v>0.2160191939091094</v>
      </c>
      <c r="H7" s="81">
        <v>11228500811</v>
      </c>
      <c r="I7" s="59">
        <f t="shared" si="17"/>
        <v>0.40286411357926877</v>
      </c>
      <c r="J7" s="81">
        <v>8003983210</v>
      </c>
      <c r="K7" s="59">
        <f t="shared" si="18"/>
        <v>-6.586219614629818E-2</v>
      </c>
      <c r="L7" s="81">
        <v>8568310989</v>
      </c>
      <c r="M7" s="59">
        <f t="shared" si="0"/>
        <v>0.60166445482708841</v>
      </c>
      <c r="N7" s="81">
        <v>5349629233</v>
      </c>
      <c r="O7" s="59">
        <f t="shared" si="1"/>
        <v>-0.10039075153990062</v>
      </c>
      <c r="P7" s="81">
        <v>5946614313</v>
      </c>
      <c r="Q7" s="59">
        <f t="shared" si="2"/>
        <v>1.8104396839548187</v>
      </c>
      <c r="R7" s="81">
        <v>2115901774</v>
      </c>
      <c r="S7" s="59">
        <f t="shared" si="3"/>
        <v>-0.43214260879723176</v>
      </c>
      <c r="T7" s="81">
        <v>3726114702</v>
      </c>
      <c r="U7" s="59">
        <f t="shared" si="4"/>
        <v>-3.3177292865492425E-2</v>
      </c>
      <c r="V7" s="81">
        <v>3853979302</v>
      </c>
      <c r="W7" s="59">
        <f t="shared" si="5"/>
        <v>-0.13143627241903821</v>
      </c>
      <c r="X7" s="81">
        <v>4437186564</v>
      </c>
      <c r="Y7" s="59">
        <f t="shared" si="6"/>
        <v>0.27988402173460436</v>
      </c>
      <c r="Z7" s="81">
        <v>3466866129</v>
      </c>
      <c r="AA7" s="59">
        <f t="shared" si="7"/>
        <v>0.11796167679512259</v>
      </c>
      <c r="AB7" s="81">
        <v>3101059903</v>
      </c>
      <c r="AC7" s="59">
        <f t="shared" si="8"/>
        <v>-2.3183424184035406E-2</v>
      </c>
      <c r="AD7" s="81">
        <v>3174659378</v>
      </c>
      <c r="AE7" s="59">
        <f t="shared" si="9"/>
        <v>-0.21456463582074825</v>
      </c>
      <c r="AF7" s="21">
        <v>4041910414</v>
      </c>
      <c r="AG7" s="59">
        <f t="shared" si="19"/>
        <v>0.29237204286276741</v>
      </c>
      <c r="AH7" s="81">
        <v>8003983210</v>
      </c>
      <c r="AI7" s="59">
        <f t="shared" si="20"/>
        <v>2.7827763596364377</v>
      </c>
      <c r="AJ7" s="81">
        <v>2115901774</v>
      </c>
      <c r="AK7" s="59">
        <f t="shared" si="10"/>
        <v>-0.3896788352164261</v>
      </c>
      <c r="AL7" s="21">
        <v>3466866129</v>
      </c>
      <c r="AM7" s="59">
        <f t="shared" si="11"/>
        <v>0.10850573183126078</v>
      </c>
      <c r="AN7" s="21">
        <v>3127513038</v>
      </c>
      <c r="AO7" s="59">
        <f t="shared" si="12"/>
        <v>0.23051440193088268</v>
      </c>
      <c r="AP7" s="21">
        <v>2541630584</v>
      </c>
      <c r="AQ7" s="59">
        <f t="shared" si="13"/>
        <v>0.11292832413603615</v>
      </c>
      <c r="AR7" s="21">
        <v>2283732500</v>
      </c>
      <c r="AS7" s="59">
        <f t="shared" si="14"/>
        <v>0.36740965583607865</v>
      </c>
      <c r="AT7" s="24">
        <v>1670115821</v>
      </c>
    </row>
    <row r="8" spans="1:46" ht="16.95" customHeight="1" x14ac:dyDescent="0.4">
      <c r="A8" s="70">
        <v>7</v>
      </c>
      <c r="B8" s="26" t="s">
        <v>78</v>
      </c>
      <c r="C8" s="27" t="s">
        <v>79</v>
      </c>
      <c r="D8" s="80">
        <v>21607032250</v>
      </c>
      <c r="E8" s="59">
        <f t="shared" si="15"/>
        <v>-3.513793201477089E-2</v>
      </c>
      <c r="F8" s="80">
        <v>22393907862</v>
      </c>
      <c r="G8" s="59">
        <f t="shared" si="16"/>
        <v>-2.2673761419785832E-3</v>
      </c>
      <c r="H8" s="80">
        <v>22444798663</v>
      </c>
      <c r="I8" s="59">
        <f t="shared" si="17"/>
        <v>-4.0724928838851704E-2</v>
      </c>
      <c r="J8" s="80">
        <v>23397666986</v>
      </c>
      <c r="K8" s="59">
        <f t="shared" si="18"/>
        <v>-6.8207702338853649E-2</v>
      </c>
      <c r="L8" s="80">
        <v>25110388919</v>
      </c>
      <c r="M8" s="59">
        <f t="shared" si="0"/>
        <v>0.11971921945669739</v>
      </c>
      <c r="N8" s="80">
        <v>22425612138</v>
      </c>
      <c r="O8" s="59">
        <f t="shared" si="1"/>
        <v>0.18670644715107754</v>
      </c>
      <c r="P8" s="80">
        <v>18897354263</v>
      </c>
      <c r="Q8" s="59">
        <f t="shared" si="2"/>
        <v>0.14770342318712082</v>
      </c>
      <c r="R8" s="80">
        <v>16465363683</v>
      </c>
      <c r="S8" s="59">
        <f t="shared" si="3"/>
        <v>0.29746549456981963</v>
      </c>
      <c r="T8" s="80">
        <v>12690405835</v>
      </c>
      <c r="U8" s="59">
        <f t="shared" si="4"/>
        <v>0.26600869940414773</v>
      </c>
      <c r="V8" s="80">
        <v>10023948367</v>
      </c>
      <c r="W8" s="59">
        <f t="shared" si="5"/>
        <v>9.0890282798806066E-2</v>
      </c>
      <c r="X8" s="80">
        <v>9188777758</v>
      </c>
      <c r="Y8" s="59">
        <f t="shared" si="6"/>
        <v>-7.5603088219012515E-2</v>
      </c>
      <c r="Z8" s="80">
        <v>9940294738</v>
      </c>
      <c r="AA8" s="59">
        <f t="shared" si="7"/>
        <v>-0.17779853622906994</v>
      </c>
      <c r="AB8" s="80">
        <v>12089852884</v>
      </c>
      <c r="AC8" s="59">
        <f t="shared" si="8"/>
        <v>8.5232126275666786E-2</v>
      </c>
      <c r="AD8" s="80">
        <v>11140338174</v>
      </c>
      <c r="AE8" s="59">
        <f t="shared" si="9"/>
        <v>0.18404085202961662</v>
      </c>
      <c r="AF8" s="21">
        <v>9408744770</v>
      </c>
      <c r="AG8" s="59">
        <f t="shared" si="19"/>
        <v>7.8646310253940532E-2</v>
      </c>
      <c r="AH8" s="80">
        <v>23397666986</v>
      </c>
      <c r="AI8" s="59">
        <f t="shared" si="20"/>
        <v>0.42102339410561562</v>
      </c>
      <c r="AJ8" s="80">
        <v>16465363683</v>
      </c>
      <c r="AK8" s="59">
        <f t="shared" si="10"/>
        <v>0.65642610375080812</v>
      </c>
      <c r="AL8" s="21">
        <v>9940294738</v>
      </c>
      <c r="AM8" s="59">
        <f t="shared" si="11"/>
        <v>0.1395847697099728</v>
      </c>
      <c r="AN8" s="21">
        <v>8722733931</v>
      </c>
      <c r="AO8" s="59">
        <f t="shared" si="12"/>
        <v>0.47677667338007046</v>
      </c>
      <c r="AP8" s="21">
        <v>5906603272</v>
      </c>
      <c r="AQ8" s="59">
        <f t="shared" si="13"/>
        <v>0.16062160844439766</v>
      </c>
      <c r="AR8" s="21">
        <v>5089172241</v>
      </c>
      <c r="AS8" s="59">
        <f t="shared" si="14"/>
        <v>0.27472229278711402</v>
      </c>
      <c r="AT8" s="24">
        <v>3992377218</v>
      </c>
    </row>
    <row r="9" spans="1:46" ht="16.95" customHeight="1" x14ac:dyDescent="0.4">
      <c r="A9" s="101">
        <v>8</v>
      </c>
      <c r="B9" s="29" t="s">
        <v>80</v>
      </c>
      <c r="C9" s="30" t="s">
        <v>244</v>
      </c>
      <c r="D9" s="81">
        <v>1677746502</v>
      </c>
      <c r="E9" s="59">
        <f t="shared" si="15"/>
        <v>0.34962002210681797</v>
      </c>
      <c r="F9" s="81">
        <v>1243125083</v>
      </c>
      <c r="G9" s="59">
        <f t="shared" si="16"/>
        <v>-0.36597179638523536</v>
      </c>
      <c r="H9" s="81">
        <v>1960677894</v>
      </c>
      <c r="I9" s="59">
        <f t="shared" si="17"/>
        <v>-5.5840827447911079E-2</v>
      </c>
      <c r="J9" s="81">
        <v>2076639142</v>
      </c>
      <c r="K9" s="59">
        <f t="shared" si="18"/>
        <v>0.39201676113713635</v>
      </c>
      <c r="L9" s="81">
        <v>1491820501</v>
      </c>
      <c r="M9" s="59">
        <f t="shared" si="0"/>
        <v>-0.20690031844763423</v>
      </c>
      <c r="N9" s="81">
        <v>1881000000</v>
      </c>
      <c r="O9" s="59">
        <f t="shared" si="1"/>
        <v>2.8507620324230265E-2</v>
      </c>
      <c r="P9" s="81">
        <v>1828863455</v>
      </c>
      <c r="Q9" s="59">
        <f t="shared" si="2"/>
        <v>1.0189173599016641</v>
      </c>
      <c r="R9" s="81">
        <v>905863455</v>
      </c>
      <c r="S9" s="59">
        <f t="shared" si="3"/>
        <v>-4.4310179676670836E-2</v>
      </c>
      <c r="T9" s="81">
        <v>947863455</v>
      </c>
      <c r="U9" s="59">
        <f t="shared" si="4"/>
        <v>0.15895073829897433</v>
      </c>
      <c r="V9" s="81">
        <v>817863455</v>
      </c>
      <c r="W9" s="59">
        <f t="shared" si="5"/>
        <v>-5.0914868260000801E-2</v>
      </c>
      <c r="X9" s="81">
        <v>861738771</v>
      </c>
      <c r="Y9" s="59">
        <f t="shared" si="6"/>
        <v>-0.41284053235708673</v>
      </c>
      <c r="Z9" s="81">
        <v>1467640085</v>
      </c>
      <c r="AA9" s="59">
        <f t="shared" si="7"/>
        <v>61.883039412997974</v>
      </c>
      <c r="AB9" s="81">
        <v>23339204</v>
      </c>
      <c r="AC9" s="59">
        <f t="shared" si="8"/>
        <v>-0.71106997507367409</v>
      </c>
      <c r="AD9" s="81">
        <v>80778050</v>
      </c>
      <c r="AE9" s="59">
        <f t="shared" si="9"/>
        <v>0.23064620067966879</v>
      </c>
      <c r="AF9" s="21">
        <v>65638727</v>
      </c>
      <c r="AG9" s="59">
        <f t="shared" si="19"/>
        <v>0.84137547131457846</v>
      </c>
      <c r="AH9" s="81">
        <v>2076639142</v>
      </c>
      <c r="AI9" s="59">
        <f t="shared" si="20"/>
        <v>1.2924416815114812</v>
      </c>
      <c r="AJ9" s="81">
        <v>905863455</v>
      </c>
      <c r="AK9" s="59">
        <f t="shared" si="10"/>
        <v>-0.38277547454694927</v>
      </c>
      <c r="AL9" s="21">
        <v>1467640085</v>
      </c>
      <c r="AM9" s="59">
        <f t="shared" si="11"/>
        <v>40.171981492527166</v>
      </c>
      <c r="AN9" s="21">
        <v>35646574</v>
      </c>
      <c r="AO9" s="59">
        <f t="shared" si="12"/>
        <v>-0.58814282208830526</v>
      </c>
      <c r="AP9" s="21">
        <v>86550814</v>
      </c>
      <c r="AQ9" s="59">
        <f t="shared" si="13"/>
        <v>4.0397694922533853</v>
      </c>
      <c r="AR9" s="21">
        <v>17173566</v>
      </c>
      <c r="AS9" s="59">
        <f t="shared" si="14"/>
        <v>-0.75331070669649935</v>
      </c>
      <c r="AT9" s="24">
        <v>69616179</v>
      </c>
    </row>
    <row r="10" spans="1:46" ht="16.95" customHeight="1" x14ac:dyDescent="0.4">
      <c r="A10" s="70">
        <v>9</v>
      </c>
      <c r="B10" s="26" t="s">
        <v>81</v>
      </c>
      <c r="C10" s="27" t="s">
        <v>242</v>
      </c>
      <c r="D10" s="80">
        <v>10766058769</v>
      </c>
      <c r="E10" s="59">
        <f t="shared" si="15"/>
        <v>2.3405104930650134</v>
      </c>
      <c r="F10" s="80">
        <v>3222878297</v>
      </c>
      <c r="G10" s="59">
        <f t="shared" si="16"/>
        <v>-0.15877635400967627</v>
      </c>
      <c r="H10" s="80">
        <v>3831178917</v>
      </c>
      <c r="I10" s="59">
        <f t="shared" si="17"/>
        <v>0.41617133923719463</v>
      </c>
      <c r="J10" s="80">
        <v>2705307480</v>
      </c>
      <c r="K10" s="59">
        <f t="shared" si="18"/>
        <v>-0.18816156550763719</v>
      </c>
      <c r="L10" s="80">
        <v>3332322498</v>
      </c>
      <c r="M10" s="59">
        <f t="shared" si="0"/>
        <v>-6.5143198758509602E-2</v>
      </c>
      <c r="N10" s="80">
        <v>3564527202</v>
      </c>
      <c r="O10" s="59">
        <f t="shared" si="1"/>
        <v>-0.58264255398577269</v>
      </c>
      <c r="P10" s="80">
        <v>8540705901</v>
      </c>
      <c r="Q10" s="59">
        <f t="shared" si="2"/>
        <v>0.49440518449837079</v>
      </c>
      <c r="R10" s="80">
        <v>5715120631</v>
      </c>
      <c r="S10" s="59">
        <f t="shared" si="3"/>
        <v>-2.0753483861625233E-3</v>
      </c>
      <c r="T10" s="80">
        <v>5727006164</v>
      </c>
      <c r="U10" s="59">
        <f t="shared" si="4"/>
        <v>1.34109759497631</v>
      </c>
      <c r="V10" s="80">
        <v>2446291080</v>
      </c>
      <c r="W10" s="59">
        <f t="shared" si="5"/>
        <v>-4.5352203749741915E-2</v>
      </c>
      <c r="X10" s="80">
        <v>2562506392</v>
      </c>
      <c r="Y10" s="59">
        <f t="shared" si="6"/>
        <v>4.0062864187136</v>
      </c>
      <c r="Z10" s="80">
        <v>511857728</v>
      </c>
      <c r="AA10" s="59">
        <f t="shared" si="7"/>
        <v>-0.14170687040357099</v>
      </c>
      <c r="AB10" s="80">
        <v>596367034</v>
      </c>
      <c r="AC10" s="59">
        <f t="shared" si="8"/>
        <v>-0.59394726753762406</v>
      </c>
      <c r="AD10" s="80">
        <v>1468693562</v>
      </c>
      <c r="AE10" s="59">
        <f t="shared" si="9"/>
        <v>-0.3401601207706626</v>
      </c>
      <c r="AF10" s="21">
        <v>2225833279</v>
      </c>
      <c r="AG10" s="59">
        <f t="shared" si="19"/>
        <v>2.0197399899205304</v>
      </c>
      <c r="AH10" s="80">
        <v>2705307480</v>
      </c>
      <c r="AI10" s="59">
        <f t="shared" si="20"/>
        <v>-0.52664035377908713</v>
      </c>
      <c r="AJ10" s="80">
        <v>5715120631</v>
      </c>
      <c r="AK10" s="59">
        <f t="shared" si="10"/>
        <v>10.165447581168491</v>
      </c>
      <c r="AL10" s="21">
        <v>511857728</v>
      </c>
      <c r="AM10" s="59">
        <f t="shared" si="11"/>
        <v>-0.30557366314251</v>
      </c>
      <c r="AN10" s="21">
        <v>737094348</v>
      </c>
      <c r="AO10" s="59">
        <f t="shared" si="12"/>
        <v>-0.53640506076820882</v>
      </c>
      <c r="AP10" s="21">
        <v>1589953396</v>
      </c>
      <c r="AQ10" s="59">
        <f t="shared" si="13"/>
        <v>0.92594632926273213</v>
      </c>
      <c r="AR10" s="21">
        <v>825543979</v>
      </c>
      <c r="AS10" s="59">
        <f t="shared" si="14"/>
        <v>0.30661716131868588</v>
      </c>
      <c r="AT10" s="24">
        <v>631817799</v>
      </c>
    </row>
    <row r="11" spans="1:46" ht="16.95" customHeight="1" x14ac:dyDescent="0.4">
      <c r="A11" s="101">
        <v>10</v>
      </c>
      <c r="B11" s="29" t="s">
        <v>83</v>
      </c>
      <c r="C11" s="30" t="s">
        <v>84</v>
      </c>
      <c r="D11" s="81">
        <v>203455960</v>
      </c>
      <c r="E11" s="59">
        <f t="shared" si="15"/>
        <v>6.5637709072470924</v>
      </c>
      <c r="F11" s="81">
        <v>26898747</v>
      </c>
      <c r="G11" s="59">
        <f t="shared" si="16"/>
        <v>6.598315073723704E-2</v>
      </c>
      <c r="H11" s="81">
        <v>25233745</v>
      </c>
      <c r="I11" s="59">
        <f t="shared" si="17"/>
        <v>2.8801389014146084E-2</v>
      </c>
      <c r="J11" s="81">
        <v>24527324</v>
      </c>
      <c r="K11" s="59">
        <f t="shared" si="18"/>
        <v>-0.17068866250656112</v>
      </c>
      <c r="L11" s="81">
        <v>29575532</v>
      </c>
      <c r="M11" s="59">
        <f t="shared" si="0"/>
        <v>0.10975324034612721</v>
      </c>
      <c r="N11" s="81">
        <v>26650548</v>
      </c>
      <c r="O11" s="59">
        <f t="shared" si="1"/>
        <v>6.7806438119385026E-2</v>
      </c>
      <c r="P11" s="81">
        <v>24958220</v>
      </c>
      <c r="Q11" s="59">
        <f t="shared" si="2"/>
        <v>2.1390740678142173E-2</v>
      </c>
      <c r="R11" s="81">
        <v>24435526</v>
      </c>
      <c r="S11" s="59">
        <f t="shared" si="3"/>
        <v>-3.3308156765043617E-2</v>
      </c>
      <c r="T11" s="81">
        <v>25277472</v>
      </c>
      <c r="U11" s="59">
        <f t="shared" si="4"/>
        <v>0.52287046414239291</v>
      </c>
      <c r="V11" s="81">
        <v>16598570</v>
      </c>
      <c r="W11" s="59">
        <f t="shared" si="5"/>
        <v>9.4299455711012836</v>
      </c>
      <c r="X11" s="81">
        <v>1591434</v>
      </c>
      <c r="Y11" s="59">
        <f t="shared" si="6"/>
        <v>4.1819852941176405E-2</v>
      </c>
      <c r="Z11" s="81">
        <v>1527552</v>
      </c>
      <c r="AA11" s="59">
        <f t="shared" si="7"/>
        <v>-0.85986586845068391</v>
      </c>
      <c r="AB11" s="81">
        <v>10900642</v>
      </c>
      <c r="AC11" s="59">
        <f t="shared" si="8"/>
        <v>0.53380180479849071</v>
      </c>
      <c r="AD11" s="81">
        <v>7106943</v>
      </c>
      <c r="AE11" s="59">
        <f t="shared" si="9"/>
        <v>5.2370985279908169</v>
      </c>
      <c r="AF11" s="21">
        <v>1139463</v>
      </c>
      <c r="AG11" s="59">
        <f t="shared" si="19"/>
        <v>5.8344679498329564</v>
      </c>
      <c r="AH11" s="81">
        <v>24527324</v>
      </c>
      <c r="AI11" s="59">
        <f t="shared" si="20"/>
        <v>3.7567433580107945E-3</v>
      </c>
      <c r="AJ11" s="81">
        <v>24435526</v>
      </c>
      <c r="AK11" s="59">
        <f t="shared" si="10"/>
        <v>14.99652646849338</v>
      </c>
      <c r="AL11" s="21">
        <v>1527552</v>
      </c>
      <c r="AM11" s="59">
        <f t="shared" si="11"/>
        <v>8.1622151712721092</v>
      </c>
      <c r="AN11" s="21">
        <v>166723</v>
      </c>
      <c r="AO11" s="59">
        <f t="shared" si="12"/>
        <v>-0.96225948266631778</v>
      </c>
      <c r="AP11" s="21">
        <v>4417613</v>
      </c>
      <c r="AQ11" s="59">
        <f t="shared" si="13"/>
        <v>-0.8986349325673948</v>
      </c>
      <c r="AR11" s="21">
        <v>43581217</v>
      </c>
      <c r="AS11" s="59">
        <f t="shared" si="14"/>
        <v>0</v>
      </c>
      <c r="AT11" s="24">
        <v>0</v>
      </c>
    </row>
    <row r="12" spans="1:46" s="101" customFormat="1" ht="16.95" customHeight="1" x14ac:dyDescent="0.4">
      <c r="A12" s="70">
        <v>11</v>
      </c>
      <c r="B12" s="60" t="s">
        <v>85</v>
      </c>
      <c r="C12" s="61" t="s">
        <v>86</v>
      </c>
      <c r="D12" s="102">
        <f>SUM(D13:D20)</f>
        <v>188515830152</v>
      </c>
      <c r="E12" s="98">
        <f t="shared" si="15"/>
        <v>1.522525317098733E-3</v>
      </c>
      <c r="F12" s="102">
        <f>SUM(F13:F20)</f>
        <v>188229246359</v>
      </c>
      <c r="G12" s="98">
        <f t="shared" si="16"/>
        <v>2.4155509368936956E-2</v>
      </c>
      <c r="H12" s="102">
        <f>SUM(H13:H20)</f>
        <v>183789712243</v>
      </c>
      <c r="I12" s="98">
        <f t="shared" si="17"/>
        <v>9.1107977561843967E-4</v>
      </c>
      <c r="J12" s="102">
        <f>SUM(J13:J20)</f>
        <v>183622417572</v>
      </c>
      <c r="K12" s="98">
        <f t="shared" si="18"/>
        <v>-0.12883526429151215</v>
      </c>
      <c r="L12" s="102">
        <f>SUM(L13:L20)</f>
        <v>210778065325</v>
      </c>
      <c r="M12" s="98">
        <f t="shared" si="0"/>
        <v>-5.3509227229897594E-4</v>
      </c>
      <c r="N12" s="102">
        <f>SUM(N13:N20)</f>
        <v>210890911422</v>
      </c>
      <c r="O12" s="98">
        <f t="shared" si="1"/>
        <v>-2.222705153913429E-3</v>
      </c>
      <c r="P12" s="102">
        <f>SUM(P13:P20)</f>
        <v>211360703948</v>
      </c>
      <c r="Q12" s="98">
        <f t="shared" si="2"/>
        <v>0.47557879763081479</v>
      </c>
      <c r="R12" s="102">
        <f>SUM(R13:R20)</f>
        <v>143239184710</v>
      </c>
      <c r="S12" s="98">
        <f t="shared" si="3"/>
        <v>0.76147590558715383</v>
      </c>
      <c r="T12" s="102">
        <f>SUM(T13:T20)</f>
        <v>81317708778</v>
      </c>
      <c r="U12" s="98">
        <f t="shared" si="4"/>
        <v>0.13966621285797576</v>
      </c>
      <c r="V12" s="102">
        <f>SUM(V13:V20)</f>
        <v>71352215114</v>
      </c>
      <c r="W12" s="98">
        <f t="shared" si="5"/>
        <v>0.25962352846709935</v>
      </c>
      <c r="X12" s="102">
        <f>SUM(X13:X20)</f>
        <v>56645667139</v>
      </c>
      <c r="Y12" s="98">
        <f t="shared" si="6"/>
        <v>3.9108303233485131E-2</v>
      </c>
      <c r="Z12" s="102">
        <f>SUM(Z13:Z20)</f>
        <v>54513727744</v>
      </c>
      <c r="AA12" s="98">
        <f t="shared" si="7"/>
        <v>-1.4319761465278691E-2</v>
      </c>
      <c r="AB12" s="102">
        <f>SUM(AB13:AB20)</f>
        <v>55305692062</v>
      </c>
      <c r="AC12" s="98">
        <f t="shared" si="8"/>
        <v>2.2475804774435559E-5</v>
      </c>
      <c r="AD12" s="102">
        <v>55304449050</v>
      </c>
      <c r="AE12" s="98">
        <f t="shared" si="9"/>
        <v>-9.283540527083356E-3</v>
      </c>
      <c r="AF12" s="99">
        <v>55822681173</v>
      </c>
      <c r="AG12" s="98">
        <f t="shared" si="19"/>
        <v>-3.3497095887065065E-3</v>
      </c>
      <c r="AH12" s="102">
        <f>SUM(AH13:AH20)</f>
        <v>183632245546</v>
      </c>
      <c r="AI12" s="98">
        <f t="shared" si="20"/>
        <v>0.28199728250184619</v>
      </c>
      <c r="AJ12" s="102">
        <f>SUM(AJ13:AJ20)</f>
        <v>143239184710</v>
      </c>
      <c r="AK12" s="98">
        <f t="shared" si="10"/>
        <v>1.627580072723342</v>
      </c>
      <c r="AL12" s="99">
        <v>54513727744</v>
      </c>
      <c r="AM12" s="98">
        <f t="shared" si="11"/>
        <v>-2.6719579823078154E-2</v>
      </c>
      <c r="AN12" s="99">
        <v>56010299410</v>
      </c>
      <c r="AO12" s="98">
        <f t="shared" si="12"/>
        <v>0.14127678428374058</v>
      </c>
      <c r="AP12" s="99">
        <v>49076876163</v>
      </c>
      <c r="AQ12" s="98">
        <f t="shared" si="13"/>
        <v>0.3833016495695718</v>
      </c>
      <c r="AR12" s="99">
        <v>35478072464</v>
      </c>
      <c r="AS12" s="98">
        <f t="shared" si="14"/>
        <v>8.7465628573708383</v>
      </c>
      <c r="AT12" s="100">
        <v>3640059884</v>
      </c>
    </row>
    <row r="13" spans="1:46" ht="16.95" customHeight="1" x14ac:dyDescent="0.4">
      <c r="A13" s="101">
        <v>12</v>
      </c>
      <c r="B13" s="29" t="s">
        <v>87</v>
      </c>
      <c r="C13" s="30" t="s">
        <v>88</v>
      </c>
      <c r="D13" s="81">
        <v>107422000</v>
      </c>
      <c r="E13" s="59">
        <f t="shared" si="15"/>
        <v>0</v>
      </c>
      <c r="F13" s="81">
        <v>107422000</v>
      </c>
      <c r="G13" s="59">
        <f t="shared" si="16"/>
        <v>0</v>
      </c>
      <c r="H13" s="81">
        <v>107422000</v>
      </c>
      <c r="I13" s="59">
        <f t="shared" si="17"/>
        <v>-0.67610347835050166</v>
      </c>
      <c r="J13" s="81">
        <v>331655306</v>
      </c>
      <c r="K13" s="59">
        <f t="shared" si="18"/>
        <v>-0.21841319853765462</v>
      </c>
      <c r="L13" s="81">
        <v>424335858</v>
      </c>
      <c r="M13" s="59">
        <f t="shared" si="0"/>
        <v>-0.19286046863989792</v>
      </c>
      <c r="N13" s="81">
        <v>525728008</v>
      </c>
      <c r="O13" s="59">
        <f t="shared" si="1"/>
        <v>1.4759456490667899E-2</v>
      </c>
      <c r="P13" s="81">
        <v>518081408</v>
      </c>
      <c r="Q13" s="59">
        <f t="shared" si="2"/>
        <v>0.74316363785069028</v>
      </c>
      <c r="R13" s="81">
        <v>297207558</v>
      </c>
      <c r="S13" s="59">
        <f t="shared" si="3"/>
        <v>1.8138860989746375E-2</v>
      </c>
      <c r="T13" s="81">
        <v>291912596</v>
      </c>
      <c r="U13" s="59">
        <f t="shared" si="4"/>
        <v>1.1395906230356134E-2</v>
      </c>
      <c r="V13" s="81">
        <v>288623470</v>
      </c>
      <c r="W13" s="59">
        <f t="shared" si="5"/>
        <v>2.7267623126200569E-2</v>
      </c>
      <c r="X13" s="81">
        <v>280962296</v>
      </c>
      <c r="Y13" s="59">
        <f t="shared" si="6"/>
        <v>1.8926488264139785E-2</v>
      </c>
      <c r="Z13" s="81">
        <v>275743441</v>
      </c>
      <c r="AA13" s="59">
        <f t="shared" si="7"/>
        <v>8.8656893799797354E-2</v>
      </c>
      <c r="AB13" s="81">
        <v>253287737</v>
      </c>
      <c r="AC13" s="59">
        <f t="shared" si="8"/>
        <v>6.1633125469223282E-2</v>
      </c>
      <c r="AD13" s="81">
        <v>238583114</v>
      </c>
      <c r="AE13" s="59">
        <f t="shared" si="9"/>
        <v>-0.45412610902867501</v>
      </c>
      <c r="AF13" s="21">
        <v>437066359</v>
      </c>
      <c r="AG13" s="59">
        <f t="shared" si="19"/>
        <v>1.0180759400807871E-2</v>
      </c>
      <c r="AH13" s="81">
        <v>331655306</v>
      </c>
      <c r="AI13" s="59">
        <f t="shared" si="20"/>
        <v>0.11590468368910045</v>
      </c>
      <c r="AJ13" s="81">
        <v>297207558</v>
      </c>
      <c r="AK13" s="59">
        <f t="shared" si="10"/>
        <v>7.7840897764092309E-2</v>
      </c>
      <c r="AL13" s="21">
        <v>275743441</v>
      </c>
      <c r="AM13" s="59">
        <f t="shared" si="11"/>
        <v>-0.36268094559716069</v>
      </c>
      <c r="AN13" s="21">
        <v>432661536</v>
      </c>
      <c r="AO13" s="59">
        <f t="shared" si="12"/>
        <v>3.1852589183838376E-2</v>
      </c>
      <c r="AP13" s="21">
        <v>419305568</v>
      </c>
      <c r="AQ13" s="59">
        <f t="shared" si="13"/>
        <v>2.0391610525078732</v>
      </c>
      <c r="AR13" s="21">
        <v>137967538</v>
      </c>
      <c r="AS13" s="59">
        <f t="shared" si="14"/>
        <v>-0.52464651538712781</v>
      </c>
      <c r="AT13" s="24">
        <v>290241983</v>
      </c>
    </row>
    <row r="14" spans="1:46" ht="16.95" customHeight="1" x14ac:dyDescent="0.4">
      <c r="A14" s="70">
        <v>13</v>
      </c>
      <c r="B14" s="26" t="s">
        <v>89</v>
      </c>
      <c r="C14" s="27" t="s">
        <v>262</v>
      </c>
      <c r="D14" s="80">
        <v>2999958567</v>
      </c>
      <c r="E14" s="59">
        <f t="shared" si="15"/>
        <v>0</v>
      </c>
      <c r="F14" s="80">
        <v>2999958567</v>
      </c>
      <c r="G14" s="59">
        <f t="shared" si="16"/>
        <v>0</v>
      </c>
      <c r="H14" s="80" t="s">
        <v>32</v>
      </c>
      <c r="I14" s="59">
        <f t="shared" si="16"/>
        <v>0</v>
      </c>
      <c r="J14" s="80" t="s">
        <v>32</v>
      </c>
      <c r="K14" s="59">
        <f t="shared" si="16"/>
        <v>0</v>
      </c>
      <c r="L14" s="80" t="s">
        <v>32</v>
      </c>
      <c r="M14" s="59">
        <f t="shared" si="16"/>
        <v>0</v>
      </c>
      <c r="N14" s="80" t="s">
        <v>32</v>
      </c>
      <c r="O14" s="59">
        <f t="shared" si="16"/>
        <v>0</v>
      </c>
      <c r="P14" s="80" t="s">
        <v>32</v>
      </c>
      <c r="Q14" s="59">
        <f t="shared" si="16"/>
        <v>0</v>
      </c>
      <c r="R14" s="80" t="s">
        <v>32</v>
      </c>
      <c r="S14" s="59">
        <f t="shared" si="16"/>
        <v>0</v>
      </c>
      <c r="T14" s="80" t="s">
        <v>32</v>
      </c>
      <c r="U14" s="59">
        <f t="shared" si="16"/>
        <v>0</v>
      </c>
      <c r="V14" s="80" t="s">
        <v>32</v>
      </c>
      <c r="W14" s="59">
        <f t="shared" si="16"/>
        <v>0</v>
      </c>
      <c r="X14" s="80" t="s">
        <v>32</v>
      </c>
      <c r="Y14" s="59">
        <f t="shared" si="16"/>
        <v>0</v>
      </c>
      <c r="Z14" s="80" t="s">
        <v>32</v>
      </c>
      <c r="AA14" s="59">
        <f t="shared" si="16"/>
        <v>0</v>
      </c>
      <c r="AB14" s="80" t="s">
        <v>32</v>
      </c>
      <c r="AC14" s="59">
        <f t="shared" si="16"/>
        <v>0</v>
      </c>
      <c r="AD14" s="80" t="s">
        <v>32</v>
      </c>
      <c r="AE14" s="59">
        <f t="shared" si="16"/>
        <v>0</v>
      </c>
      <c r="AF14" s="21" t="s">
        <v>32</v>
      </c>
      <c r="AG14" s="59">
        <f t="shared" si="16"/>
        <v>0</v>
      </c>
      <c r="AH14" s="80" t="s">
        <v>32</v>
      </c>
      <c r="AI14" s="59">
        <f t="shared" si="16"/>
        <v>0</v>
      </c>
      <c r="AJ14" s="80" t="s">
        <v>32</v>
      </c>
      <c r="AK14" s="59">
        <f t="shared" si="16"/>
        <v>0</v>
      </c>
      <c r="AL14" s="21" t="s">
        <v>32</v>
      </c>
      <c r="AM14" s="59">
        <f t="shared" si="16"/>
        <v>0</v>
      </c>
      <c r="AN14" s="21" t="s">
        <v>32</v>
      </c>
      <c r="AO14" s="59">
        <f t="shared" si="16"/>
        <v>0</v>
      </c>
      <c r="AP14" s="21" t="s">
        <v>32</v>
      </c>
      <c r="AQ14" s="59">
        <f t="shared" si="16"/>
        <v>0</v>
      </c>
      <c r="AR14" s="21" t="s">
        <v>32</v>
      </c>
      <c r="AS14" s="59">
        <f t="shared" si="16"/>
        <v>0</v>
      </c>
      <c r="AT14" s="24" t="s">
        <v>32</v>
      </c>
    </row>
    <row r="15" spans="1:46" ht="16.95" customHeight="1" x14ac:dyDescent="0.4">
      <c r="A15" s="101">
        <v>14</v>
      </c>
      <c r="B15" s="26" t="s">
        <v>90</v>
      </c>
      <c r="C15" s="27" t="s">
        <v>245</v>
      </c>
      <c r="D15" s="80">
        <v>125210867907</v>
      </c>
      <c r="E15" s="59">
        <f t="shared" si="15"/>
        <v>2.6819200129618581E-2</v>
      </c>
      <c r="F15" s="80">
        <v>121940520679</v>
      </c>
      <c r="G15" s="59">
        <f t="shared" si="16"/>
        <v>6.2842537915022145E-3</v>
      </c>
      <c r="H15" s="80">
        <v>121179001082</v>
      </c>
      <c r="I15" s="59">
        <f t="shared" si="17"/>
        <v>0.16248222754666908</v>
      </c>
      <c r="J15" s="80">
        <v>104241594590</v>
      </c>
      <c r="K15" s="59">
        <f t="shared" si="18"/>
        <v>-0.21022036327541493</v>
      </c>
      <c r="L15" s="80">
        <v>131988202459</v>
      </c>
      <c r="M15" s="59">
        <f t="shared" si="0"/>
        <v>-3.6751308976701313E-3</v>
      </c>
      <c r="N15" s="80">
        <v>132475065666</v>
      </c>
      <c r="O15" s="59">
        <f t="shared" si="1"/>
        <v>0.26693050593443401</v>
      </c>
      <c r="P15" s="80">
        <v>104563798129</v>
      </c>
      <c r="Q15" s="59">
        <f t="shared" si="2"/>
        <v>0.29563563257593839</v>
      </c>
      <c r="R15" s="80">
        <v>80704632923</v>
      </c>
      <c r="S15" s="59">
        <f t="shared" si="3"/>
        <v>5.5544272083359436E-2</v>
      </c>
      <c r="T15" s="80">
        <v>76457837968</v>
      </c>
      <c r="U15" s="59">
        <f t="shared" si="4"/>
        <v>0.15276595478759147</v>
      </c>
      <c r="V15" s="80">
        <v>66325551731</v>
      </c>
      <c r="W15" s="59">
        <f t="shared" si="5"/>
        <v>0.29306369589305747</v>
      </c>
      <c r="X15" s="80">
        <v>51293336857</v>
      </c>
      <c r="Y15" s="59">
        <f t="shared" si="6"/>
        <v>2.3847323347409244E-2</v>
      </c>
      <c r="Z15" s="80">
        <v>50098618893</v>
      </c>
      <c r="AA15" s="59">
        <f t="shared" si="7"/>
        <v>-4.9492524350835954E-3</v>
      </c>
      <c r="AB15" s="80">
        <v>50347802879</v>
      </c>
      <c r="AC15" s="59">
        <f t="shared" si="8"/>
        <v>-5.5318164460438357E-3</v>
      </c>
      <c r="AD15" s="80">
        <v>50627866946</v>
      </c>
      <c r="AE15" s="59">
        <f t="shared" si="9"/>
        <v>-5.0024658586084181E-3</v>
      </c>
      <c r="AF15" s="21">
        <v>50882404437</v>
      </c>
      <c r="AG15" s="59">
        <f t="shared" si="19"/>
        <v>-3.8233321160370259E-3</v>
      </c>
      <c r="AH15" s="80">
        <v>104241594590</v>
      </c>
      <c r="AI15" s="59">
        <f t="shared" si="20"/>
        <v>0.29164325286574977</v>
      </c>
      <c r="AJ15" s="80">
        <v>80704632923</v>
      </c>
      <c r="AK15" s="59">
        <f t="shared" si="10"/>
        <v>0.61091532473914989</v>
      </c>
      <c r="AL15" s="21">
        <v>50098618893</v>
      </c>
      <c r="AM15" s="59">
        <f t="shared" si="11"/>
        <v>-1.9168300188925014E-2</v>
      </c>
      <c r="AN15" s="21">
        <v>51077691415</v>
      </c>
      <c r="AO15" s="59">
        <f t="shared" si="12"/>
        <v>0.10904049329159471</v>
      </c>
      <c r="AP15" s="21">
        <v>46055749744</v>
      </c>
      <c r="AQ15" s="59">
        <f t="shared" si="13"/>
        <v>0.43733707925959275</v>
      </c>
      <c r="AR15" s="21">
        <v>32042413995</v>
      </c>
      <c r="AS15" s="59">
        <f t="shared" si="14"/>
        <v>57.653866697416255</v>
      </c>
      <c r="AT15" s="24">
        <v>546296703</v>
      </c>
    </row>
    <row r="16" spans="1:46" ht="16.95" customHeight="1" x14ac:dyDescent="0.4">
      <c r="A16" s="70">
        <v>15</v>
      </c>
      <c r="B16" s="29" t="s">
        <v>91</v>
      </c>
      <c r="C16" s="30" t="s">
        <v>246</v>
      </c>
      <c r="D16" s="81">
        <v>2336794433</v>
      </c>
      <c r="E16" s="59">
        <f>IFERROR(D16/F16-1,0)</f>
        <v>0.20090002357373193</v>
      </c>
      <c r="F16" s="81">
        <v>1945869254</v>
      </c>
      <c r="G16" s="59">
        <f>IFERROR(F16/H16-1,0)</f>
        <v>0.18293656941550673</v>
      </c>
      <c r="H16" s="81">
        <v>1644948093</v>
      </c>
      <c r="I16" s="59">
        <f>IFERROR(H16/J16-1,0)</f>
        <v>0.1126771829788753</v>
      </c>
      <c r="J16" s="81">
        <v>1478369574</v>
      </c>
      <c r="K16" s="59">
        <f>IFERROR(J16/L16-1,0)</f>
        <v>1.4670178795387345E-2</v>
      </c>
      <c r="L16" s="81">
        <v>1456995194</v>
      </c>
      <c r="M16" s="59">
        <f t="shared" si="0"/>
        <v>6.4292012929377584E-2</v>
      </c>
      <c r="N16" s="81">
        <v>1368980671</v>
      </c>
      <c r="O16" s="59">
        <f t="shared" si="1"/>
        <v>0.12712556663610819</v>
      </c>
      <c r="P16" s="81">
        <v>1214576895</v>
      </c>
      <c r="Q16" s="59">
        <f t="shared" si="2"/>
        <v>8.0586248924847004E-2</v>
      </c>
      <c r="R16" s="81">
        <v>1123998104</v>
      </c>
      <c r="S16" s="59">
        <f t="shared" si="3"/>
        <v>5.1093647391368346E-2</v>
      </c>
      <c r="T16" s="81">
        <v>1069360572</v>
      </c>
      <c r="U16" s="59">
        <f t="shared" si="4"/>
        <v>0.29429376544318298</v>
      </c>
      <c r="V16" s="81">
        <v>826211638</v>
      </c>
      <c r="W16" s="59">
        <f t="shared" si="5"/>
        <v>2.3735683763981941E-2</v>
      </c>
      <c r="X16" s="81">
        <v>807055621</v>
      </c>
      <c r="Y16" s="59">
        <f t="shared" si="6"/>
        <v>-1.8016211420404993E-2</v>
      </c>
      <c r="Z16" s="81">
        <v>821862469</v>
      </c>
      <c r="AA16" s="59">
        <f t="shared" si="7"/>
        <v>0.14116890994076736</v>
      </c>
      <c r="AB16" s="81">
        <v>720193533</v>
      </c>
      <c r="AC16" s="59">
        <f t="shared" si="8"/>
        <v>-1.5197436780676532E-2</v>
      </c>
      <c r="AD16" s="81">
        <v>731307533</v>
      </c>
      <c r="AE16" s="59">
        <f t="shared" si="9"/>
        <v>2.9475923264068893E-2</v>
      </c>
      <c r="AF16" s="21">
        <v>710368758</v>
      </c>
      <c r="AG16" s="59">
        <f t="shared" si="19"/>
        <v>-4.2955699212943177E-4</v>
      </c>
      <c r="AH16" s="81">
        <v>1478369574</v>
      </c>
      <c r="AI16" s="59">
        <f t="shared" si="20"/>
        <v>0.31527764036157135</v>
      </c>
      <c r="AJ16" s="81">
        <v>1123998104</v>
      </c>
      <c r="AK16" s="59">
        <f t="shared" si="10"/>
        <v>0.3676231077538108</v>
      </c>
      <c r="AL16" s="21">
        <v>821862469</v>
      </c>
      <c r="AM16" s="59">
        <f t="shared" si="11"/>
        <v>0.15645490173692611</v>
      </c>
      <c r="AN16" s="21">
        <v>710674033</v>
      </c>
      <c r="AO16" s="59">
        <f t="shared" si="12"/>
        <v>3.6463637125963375</v>
      </c>
      <c r="AP16" s="21">
        <v>152952734</v>
      </c>
      <c r="AQ16" s="59">
        <f t="shared" si="13"/>
        <v>0.57078782058261535</v>
      </c>
      <c r="AR16" s="21">
        <v>97373262</v>
      </c>
      <c r="AS16" s="59">
        <f t="shared" si="14"/>
        <v>1.9914856574327571</v>
      </c>
      <c r="AT16" s="24">
        <v>32550135</v>
      </c>
    </row>
    <row r="17" spans="1:46" ht="16.95" customHeight="1" x14ac:dyDescent="0.4">
      <c r="A17" s="101">
        <v>16</v>
      </c>
      <c r="B17" s="29" t="s">
        <v>92</v>
      </c>
      <c r="C17" s="30" t="s">
        <v>247</v>
      </c>
      <c r="D17" s="80">
        <v>54579834547</v>
      </c>
      <c r="E17" s="59">
        <f t="shared" ref="E17:E45" si="21">IFERROR(D17/F17-1,0)</f>
        <v>-5.2820347997155292E-2</v>
      </c>
      <c r="F17" s="80">
        <v>57623529424</v>
      </c>
      <c r="G17" s="59">
        <f t="shared" ref="G17:G45" si="22">IFERROR(F17/H17-1,0)</f>
        <v>-1.4472577132552678E-3</v>
      </c>
      <c r="H17" s="80">
        <v>57707046392</v>
      </c>
      <c r="I17" s="59">
        <f t="shared" ref="I17:I45" si="23">IFERROR(H17/J17-1,0)</f>
        <v>-0.22700811364503259</v>
      </c>
      <c r="J17" s="80">
        <v>74654142444</v>
      </c>
      <c r="K17" s="59">
        <f t="shared" si="18"/>
        <v>-1.4430807172171045E-3</v>
      </c>
      <c r="L17" s="80">
        <v>74762030088</v>
      </c>
      <c r="M17" s="59">
        <f t="shared" si="0"/>
        <v>-2.071946453066964E-3</v>
      </c>
      <c r="N17" s="80">
        <v>74917254628</v>
      </c>
      <c r="O17" s="59">
        <f t="shared" si="1"/>
        <v>-0.27593425710987274</v>
      </c>
      <c r="P17" s="80">
        <v>103467475659</v>
      </c>
      <c r="Q17" s="59">
        <f t="shared" si="2"/>
        <v>0.77115246983412833</v>
      </c>
      <c r="R17" s="80">
        <v>58418164117</v>
      </c>
      <c r="S17" s="59">
        <f t="shared" si="3"/>
        <v>0</v>
      </c>
      <c r="T17" s="80">
        <v>0</v>
      </c>
      <c r="U17" s="59">
        <f t="shared" si="4"/>
        <v>0</v>
      </c>
      <c r="V17" s="80">
        <v>0</v>
      </c>
      <c r="W17" s="59">
        <f t="shared" si="5"/>
        <v>0</v>
      </c>
      <c r="X17" s="80">
        <v>0</v>
      </c>
      <c r="Y17" s="59">
        <f t="shared" si="6"/>
        <v>0</v>
      </c>
      <c r="Z17" s="80">
        <v>0</v>
      </c>
      <c r="AA17" s="59">
        <f t="shared" si="7"/>
        <v>0</v>
      </c>
      <c r="AB17" s="80">
        <v>0</v>
      </c>
      <c r="AC17" s="59">
        <f t="shared" si="8"/>
        <v>0</v>
      </c>
      <c r="AD17" s="80">
        <v>0</v>
      </c>
      <c r="AE17" s="59">
        <f t="shared" si="9"/>
        <v>0</v>
      </c>
      <c r="AF17" s="21">
        <v>0</v>
      </c>
      <c r="AG17" s="59" t="e">
        <f t="shared" si="19"/>
        <v>#DIV/0!</v>
      </c>
      <c r="AH17" s="80">
        <v>74654142444</v>
      </c>
      <c r="AI17" s="59">
        <f t="shared" si="20"/>
        <v>0.27792688408493205</v>
      </c>
      <c r="AJ17" s="80">
        <v>58418164117</v>
      </c>
      <c r="AK17" s="59">
        <f t="shared" si="10"/>
        <v>0</v>
      </c>
      <c r="AL17" s="21">
        <v>0</v>
      </c>
      <c r="AM17" s="59">
        <f t="shared" si="11"/>
        <v>0</v>
      </c>
      <c r="AN17" s="21">
        <v>0</v>
      </c>
      <c r="AO17" s="59">
        <f t="shared" si="12"/>
        <v>0</v>
      </c>
      <c r="AP17" s="21">
        <v>0</v>
      </c>
      <c r="AQ17" s="59">
        <f t="shared" si="13"/>
        <v>0</v>
      </c>
      <c r="AR17" s="21">
        <v>0</v>
      </c>
      <c r="AS17" s="59">
        <f t="shared" si="14"/>
        <v>0</v>
      </c>
      <c r="AT17" s="24">
        <v>0</v>
      </c>
    </row>
    <row r="18" spans="1:46" ht="16.95" customHeight="1" x14ac:dyDescent="0.4">
      <c r="A18" s="70">
        <v>17</v>
      </c>
      <c r="B18" s="26" t="s">
        <v>93</v>
      </c>
      <c r="C18" s="27" t="s">
        <v>249</v>
      </c>
      <c r="D18" s="80">
        <v>1646073153</v>
      </c>
      <c r="E18" s="59">
        <f t="shared" si="21"/>
        <v>-0.1423695632152514</v>
      </c>
      <c r="F18" s="80">
        <v>1919326883</v>
      </c>
      <c r="G18" s="59">
        <f t="shared" si="22"/>
        <v>0.53781321648819391</v>
      </c>
      <c r="H18" s="80">
        <v>1248088430</v>
      </c>
      <c r="I18" s="59">
        <f t="shared" si="23"/>
        <v>0.20239288324790783</v>
      </c>
      <c r="J18" s="80">
        <v>1038003840</v>
      </c>
      <c r="K18" s="59">
        <f t="shared" si="18"/>
        <v>-0.10494090967640324</v>
      </c>
      <c r="L18" s="80">
        <v>1159704260</v>
      </c>
      <c r="M18" s="59">
        <f t="shared" si="0"/>
        <v>0.34907648742348796</v>
      </c>
      <c r="N18" s="80">
        <v>859628250</v>
      </c>
      <c r="O18" s="59">
        <f t="shared" si="1"/>
        <v>-7.5269044727731993E-2</v>
      </c>
      <c r="P18" s="80">
        <v>929598220</v>
      </c>
      <c r="Q18" s="59">
        <f t="shared" si="2"/>
        <v>-0.50930154589417576</v>
      </c>
      <c r="R18" s="80">
        <v>1894438860</v>
      </c>
      <c r="S18" s="59">
        <f t="shared" si="3"/>
        <v>7.9819462038982714E-2</v>
      </c>
      <c r="T18" s="80">
        <v>1754403330</v>
      </c>
      <c r="U18" s="59">
        <f t="shared" si="4"/>
        <v>-0.19067042863348704</v>
      </c>
      <c r="V18" s="80">
        <v>2167724240</v>
      </c>
      <c r="W18" s="59">
        <f t="shared" si="5"/>
        <v>-0.13289082872801328</v>
      </c>
      <c r="X18" s="80">
        <v>2499943850</v>
      </c>
      <c r="Y18" s="59">
        <f t="shared" si="6"/>
        <v>0.35360049249640157</v>
      </c>
      <c r="Z18" s="80">
        <v>1846884560</v>
      </c>
      <c r="AA18" s="59">
        <f t="shared" si="7"/>
        <v>-0.40746847491941529</v>
      </c>
      <c r="AB18" s="80">
        <v>3116938900</v>
      </c>
      <c r="AC18" s="59">
        <f t="shared" si="8"/>
        <v>7.5951381453726485E-2</v>
      </c>
      <c r="AD18" s="80">
        <v>2896914260</v>
      </c>
      <c r="AE18" s="59">
        <f t="shared" si="9"/>
        <v>-1.049453015620827E-2</v>
      </c>
      <c r="AF18" s="21">
        <v>2927638450</v>
      </c>
      <c r="AG18" s="59">
        <f t="shared" si="19"/>
        <v>4.9170261155428996E-4</v>
      </c>
      <c r="AH18" s="80">
        <v>1038003840</v>
      </c>
      <c r="AI18" s="59">
        <f t="shared" si="20"/>
        <v>-0.45207846929406847</v>
      </c>
      <c r="AJ18" s="80">
        <v>1894438860</v>
      </c>
      <c r="AK18" s="59">
        <f t="shared" si="10"/>
        <v>2.5748387868920197E-2</v>
      </c>
      <c r="AL18" s="21">
        <v>1846884560</v>
      </c>
      <c r="AM18" s="59">
        <f t="shared" si="11"/>
        <v>-0.36884533062428149</v>
      </c>
      <c r="AN18" s="21">
        <v>2926199630</v>
      </c>
      <c r="AO18" s="59">
        <f t="shared" si="12"/>
        <v>0.41820197963224803</v>
      </c>
      <c r="AP18" s="21">
        <v>2063316560</v>
      </c>
      <c r="AQ18" s="59">
        <f t="shared" si="13"/>
        <v>-0.24199623811553095</v>
      </c>
      <c r="AR18" s="21">
        <v>2722040000</v>
      </c>
      <c r="AS18" s="59">
        <f t="shared" si="14"/>
        <v>9.5704567514232064E-2</v>
      </c>
      <c r="AT18" s="24">
        <v>2484282790</v>
      </c>
    </row>
    <row r="19" spans="1:46" ht="16.95" customHeight="1" x14ac:dyDescent="0.4">
      <c r="A19" s="101">
        <v>18</v>
      </c>
      <c r="B19" s="29" t="s">
        <v>94</v>
      </c>
      <c r="C19" s="30" t="s">
        <v>95</v>
      </c>
      <c r="D19" s="80">
        <v>1417418785</v>
      </c>
      <c r="E19" s="59">
        <f t="shared" si="21"/>
        <v>-3.9141553650449357E-2</v>
      </c>
      <c r="F19" s="80">
        <v>1475158792</v>
      </c>
      <c r="G19" s="59">
        <f t="shared" si="22"/>
        <v>0.33453782717303926</v>
      </c>
      <c r="H19" s="80">
        <v>1105370535</v>
      </c>
      <c r="I19" s="59">
        <f t="shared" si="23"/>
        <v>1.3502529612132941E-2</v>
      </c>
      <c r="J19" s="80">
        <v>1090644081</v>
      </c>
      <c r="K19" s="59">
        <f t="shared" si="18"/>
        <v>0.10523599682612073</v>
      </c>
      <c r="L19" s="80">
        <v>986797466</v>
      </c>
      <c r="M19" s="59">
        <f t="shared" si="0"/>
        <v>0.32588767026895882</v>
      </c>
      <c r="N19" s="80">
        <v>744254199</v>
      </c>
      <c r="O19" s="59">
        <f t="shared" si="1"/>
        <v>0.11553298530589262</v>
      </c>
      <c r="P19" s="81">
        <v>667173637</v>
      </c>
      <c r="Q19" s="59">
        <f t="shared" si="2"/>
        <v>-0.16680693594895424</v>
      </c>
      <c r="R19" s="81">
        <v>800743148</v>
      </c>
      <c r="S19" s="59">
        <f t="shared" si="3"/>
        <v>0.19337117926876002</v>
      </c>
      <c r="T19" s="81">
        <v>670992531</v>
      </c>
      <c r="U19" s="59">
        <f t="shared" si="4"/>
        <v>1.0268495331617E-2</v>
      </c>
      <c r="V19" s="81">
        <v>664172479</v>
      </c>
      <c r="W19" s="59">
        <f t="shared" si="5"/>
        <v>-2.83935474226229E-2</v>
      </c>
      <c r="X19" s="81">
        <v>683581791</v>
      </c>
      <c r="Y19" s="59">
        <f t="shared" si="6"/>
        <v>0.77578858036837528</v>
      </c>
      <c r="Z19" s="81">
        <v>384945482</v>
      </c>
      <c r="AA19" s="59">
        <f t="shared" si="7"/>
        <v>0.48652845531723576</v>
      </c>
      <c r="AB19" s="81">
        <v>258956013</v>
      </c>
      <c r="AC19" s="59">
        <f t="shared" si="8"/>
        <v>0.29197561229765379</v>
      </c>
      <c r="AD19" s="81">
        <v>200434134</v>
      </c>
      <c r="AE19" s="59">
        <f t="shared" si="9"/>
        <v>-0.21538654171442573</v>
      </c>
      <c r="AF19" s="21">
        <v>255455896</v>
      </c>
      <c r="AG19" s="59">
        <f t="shared" si="19"/>
        <v>1.635662610076305E-2</v>
      </c>
      <c r="AH19" s="81">
        <v>1090644081</v>
      </c>
      <c r="AI19" s="59">
        <f t="shared" si="20"/>
        <v>0.36203985475752076</v>
      </c>
      <c r="AJ19" s="81">
        <v>800743148</v>
      </c>
      <c r="AK19" s="59">
        <f t="shared" si="10"/>
        <v>1.0801468920734081</v>
      </c>
      <c r="AL19" s="21">
        <v>384945482</v>
      </c>
      <c r="AM19" s="59">
        <f t="shared" si="11"/>
        <v>0.53154379070683899</v>
      </c>
      <c r="AN19" s="21">
        <v>251344744</v>
      </c>
      <c r="AO19" s="59">
        <f t="shared" si="12"/>
        <v>0</v>
      </c>
      <c r="AP19" s="21">
        <v>0</v>
      </c>
      <c r="AQ19" s="59">
        <f t="shared" si="13"/>
        <v>0</v>
      </c>
      <c r="AR19" s="21">
        <v>0</v>
      </c>
      <c r="AS19" s="59">
        <f t="shared" si="14"/>
        <v>0</v>
      </c>
      <c r="AT19" s="24">
        <v>0</v>
      </c>
    </row>
    <row r="20" spans="1:46" ht="16.95" customHeight="1" x14ac:dyDescent="0.4">
      <c r="A20" s="70">
        <v>19</v>
      </c>
      <c r="B20" s="26" t="s">
        <v>96</v>
      </c>
      <c r="C20" s="27" t="s">
        <v>248</v>
      </c>
      <c r="D20" s="80">
        <v>217460760</v>
      </c>
      <c r="E20" s="59">
        <f t="shared" si="21"/>
        <v>0</v>
      </c>
      <c r="F20" s="80">
        <v>217460760</v>
      </c>
      <c r="G20" s="59">
        <f t="shared" si="22"/>
        <v>-0.727436667722686</v>
      </c>
      <c r="H20" s="80">
        <v>797835711</v>
      </c>
      <c r="I20" s="59">
        <f t="shared" si="23"/>
        <v>1.2471925767398861E-2</v>
      </c>
      <c r="J20" s="80">
        <v>788007737</v>
      </c>
      <c r="K20" s="59">
        <f t="shared" si="18"/>
        <v>0</v>
      </c>
      <c r="L20" s="80" t="s">
        <v>32</v>
      </c>
      <c r="M20" s="59">
        <f t="shared" si="0"/>
        <v>0</v>
      </c>
      <c r="N20" s="80">
        <v>0</v>
      </c>
      <c r="O20" s="59">
        <f t="shared" si="1"/>
        <v>0</v>
      </c>
      <c r="P20" s="80">
        <v>0</v>
      </c>
      <c r="Q20" s="59">
        <f t="shared" si="2"/>
        <v>0</v>
      </c>
      <c r="R20" s="80">
        <v>0</v>
      </c>
      <c r="S20" s="59">
        <f t="shared" si="3"/>
        <v>-1</v>
      </c>
      <c r="T20" s="80">
        <v>1073201781</v>
      </c>
      <c r="U20" s="59">
        <f t="shared" si="4"/>
        <v>-6.2316680743422781E-3</v>
      </c>
      <c r="V20" s="80">
        <v>1079931556</v>
      </c>
      <c r="W20" s="59">
        <f t="shared" si="5"/>
        <v>-7.9124584065481951E-4</v>
      </c>
      <c r="X20" s="80">
        <v>1080786724</v>
      </c>
      <c r="Y20" s="59">
        <f t="shared" si="6"/>
        <v>-4.5005959018601382E-3</v>
      </c>
      <c r="Z20" s="80">
        <v>1085672899</v>
      </c>
      <c r="AA20" s="59">
        <f t="shared" si="7"/>
        <v>0.78414084662118966</v>
      </c>
      <c r="AB20" s="80">
        <v>608513000</v>
      </c>
      <c r="AC20" s="59">
        <f t="shared" si="8"/>
        <v>-1.3622260601660052E-3</v>
      </c>
      <c r="AD20" s="80">
        <v>609343063</v>
      </c>
      <c r="AE20" s="59">
        <f t="shared" si="9"/>
        <v>-6.6291399387696792E-4</v>
      </c>
      <c r="AF20" s="21">
        <v>609747273</v>
      </c>
      <c r="AG20" s="59">
        <f t="shared" si="19"/>
        <v>-3.2380058320424787E-3</v>
      </c>
      <c r="AH20" s="80">
        <v>797835711</v>
      </c>
      <c r="AI20" s="59">
        <f t="shared" si="20"/>
        <v>0</v>
      </c>
      <c r="AJ20" s="80">
        <v>0</v>
      </c>
      <c r="AK20" s="59">
        <f t="shared" si="10"/>
        <v>-1</v>
      </c>
      <c r="AL20" s="21">
        <v>1085672899</v>
      </c>
      <c r="AM20" s="59">
        <f t="shared" si="11"/>
        <v>0.77476395834794909</v>
      </c>
      <c r="AN20" s="21">
        <v>611728052</v>
      </c>
      <c r="AO20" s="59">
        <f t="shared" si="12"/>
        <v>0.58663099887312864</v>
      </c>
      <c r="AP20" s="21">
        <v>385551557</v>
      </c>
      <c r="AQ20" s="59">
        <f t="shared" si="13"/>
        <v>-0.1938750604724554</v>
      </c>
      <c r="AR20" s="21">
        <v>478277669</v>
      </c>
      <c r="AS20" s="59">
        <f t="shared" si="14"/>
        <v>0.6682847330835886</v>
      </c>
      <c r="AT20" s="24">
        <v>286688273</v>
      </c>
    </row>
    <row r="21" spans="1:46" s="70" customFormat="1" ht="16.95" customHeight="1" x14ac:dyDescent="0.4">
      <c r="A21" s="101">
        <v>20</v>
      </c>
      <c r="B21" s="65" t="s">
        <v>97</v>
      </c>
      <c r="C21" s="66" t="s">
        <v>98</v>
      </c>
      <c r="D21" s="78">
        <f>D22+D30</f>
        <v>91940687735</v>
      </c>
      <c r="E21" s="88">
        <f t="shared" si="21"/>
        <v>-7.6495205862750604E-2</v>
      </c>
      <c r="F21" s="78">
        <f>F22+F30</f>
        <v>99556264698</v>
      </c>
      <c r="G21" s="88">
        <f t="shared" si="22"/>
        <v>-0.10688925007747185</v>
      </c>
      <c r="H21" s="78">
        <f>H22+H30</f>
        <v>111471354148</v>
      </c>
      <c r="I21" s="88">
        <f t="shared" si="23"/>
        <v>9.4388007741148083E-2</v>
      </c>
      <c r="J21" s="78">
        <f>J22+J30</f>
        <v>101857251139</v>
      </c>
      <c r="K21" s="88">
        <f t="shared" si="18"/>
        <v>-0.23154485517818302</v>
      </c>
      <c r="L21" s="78">
        <f>L22+L30</f>
        <v>132548076261</v>
      </c>
      <c r="M21" s="88">
        <f t="shared" si="0"/>
        <v>5.2494801307916061E-2</v>
      </c>
      <c r="N21" s="78">
        <f>N22+N30</f>
        <v>125937036550</v>
      </c>
      <c r="O21" s="88">
        <f t="shared" si="1"/>
        <v>-4.3463320475228606E-2</v>
      </c>
      <c r="P21" s="78">
        <f>P22+P30</f>
        <v>131659390848</v>
      </c>
      <c r="Q21" s="88">
        <f t="shared" si="2"/>
        <v>1.5013765783058557</v>
      </c>
      <c r="R21" s="78">
        <f>R22+R30</f>
        <v>52634773984</v>
      </c>
      <c r="S21" s="88">
        <f t="shared" si="3"/>
        <v>1.68517002881666</v>
      </c>
      <c r="T21" s="78">
        <f>T22+T30</f>
        <v>19602026471</v>
      </c>
      <c r="U21" s="88">
        <f t="shared" si="4"/>
        <v>0.11921615570459232</v>
      </c>
      <c r="V21" s="78">
        <f>V22+V30</f>
        <v>17514066761</v>
      </c>
      <c r="W21" s="88">
        <f t="shared" si="5"/>
        <v>-9.198113427167498E-2</v>
      </c>
      <c r="X21" s="78">
        <f>X22+X30</f>
        <v>19288219025</v>
      </c>
      <c r="Y21" s="88">
        <f t="shared" si="6"/>
        <v>0.40081977040754513</v>
      </c>
      <c r="Z21" s="78">
        <f>Z22+Z30</f>
        <v>13769236723</v>
      </c>
      <c r="AA21" s="88">
        <f t="shared" si="7"/>
        <v>4.7497839169841294E-2</v>
      </c>
      <c r="AB21" s="78">
        <f>AB22+AB30</f>
        <v>13144883176</v>
      </c>
      <c r="AC21" s="88">
        <f t="shared" si="8"/>
        <v>-0.38507902316811538</v>
      </c>
      <c r="AD21" s="78">
        <f>AD22+AD30</f>
        <v>21376540517</v>
      </c>
      <c r="AE21" s="88">
        <f t="shared" si="9"/>
        <v>-0.2422254217145724</v>
      </c>
      <c r="AF21" s="78">
        <f>AF22+AF30</f>
        <v>28209630053</v>
      </c>
      <c r="AG21" s="88">
        <f t="shared" si="19"/>
        <v>9.590836415492654E-2</v>
      </c>
      <c r="AH21" s="78">
        <f>AH22+AH30</f>
        <v>104346075304</v>
      </c>
      <c r="AI21" s="88">
        <f t="shared" si="20"/>
        <v>0.94850001999960742</v>
      </c>
      <c r="AJ21" s="78">
        <f>AJ22+AJ30</f>
        <v>53552001146</v>
      </c>
      <c r="AK21" s="88">
        <f t="shared" si="10"/>
        <v>2.8892497981785188</v>
      </c>
      <c r="AL21" s="78">
        <v>13769236723</v>
      </c>
      <c r="AM21" s="88">
        <f t="shared" si="11"/>
        <v>-0.46508260957643721</v>
      </c>
      <c r="AN21" s="78">
        <f>AN22+AN30</f>
        <v>25740865729</v>
      </c>
      <c r="AO21" s="88">
        <f t="shared" si="12"/>
        <v>4.4924793815728892E-2</v>
      </c>
      <c r="AP21" s="78">
        <f>AP22+AP30</f>
        <v>24634180260</v>
      </c>
      <c r="AQ21" s="88">
        <f t="shared" si="13"/>
        <v>-0.12237567497413371</v>
      </c>
      <c r="AR21" s="78">
        <f>AR22+AR30</f>
        <v>28069163032</v>
      </c>
      <c r="AS21" s="88">
        <f t="shared" si="14"/>
        <v>3.9139235239195393</v>
      </c>
      <c r="AT21" s="78">
        <f>AT22+AT30</f>
        <v>5712169287</v>
      </c>
    </row>
    <row r="22" spans="1:46" s="101" customFormat="1" ht="16.95" customHeight="1" x14ac:dyDescent="0.4">
      <c r="A22" s="70">
        <v>21</v>
      </c>
      <c r="B22" s="76" t="s">
        <v>99</v>
      </c>
      <c r="C22" s="77" t="s">
        <v>100</v>
      </c>
      <c r="D22" s="97">
        <f>SUM(D23:D29)</f>
        <v>28294889490</v>
      </c>
      <c r="E22" s="98">
        <f t="shared" si="21"/>
        <v>-0.18791318393254386</v>
      </c>
      <c r="F22" s="97">
        <f>SUM(F23:F29)</f>
        <v>34842197817</v>
      </c>
      <c r="G22" s="98">
        <f t="shared" si="22"/>
        <v>-0.24815007929009625</v>
      </c>
      <c r="H22" s="97">
        <f>SUM(H23:H29)</f>
        <v>46341958491</v>
      </c>
      <c r="I22" s="98">
        <f t="shared" si="23"/>
        <v>0.27927316130291824</v>
      </c>
      <c r="J22" s="97">
        <f>SUM(J23:J29)</f>
        <v>36225225302</v>
      </c>
      <c r="K22" s="98">
        <f t="shared" si="18"/>
        <v>0.17043634173110012</v>
      </c>
      <c r="L22" s="97">
        <f>SUM(L23:L29)</f>
        <v>30950188413</v>
      </c>
      <c r="M22" s="98">
        <f t="shared" si="0"/>
        <v>0.29875204114174081</v>
      </c>
      <c r="N22" s="97">
        <f>SUM(N23:N29)</f>
        <v>23830713972</v>
      </c>
      <c r="O22" s="98">
        <f t="shared" si="1"/>
        <v>-0.1678948860555638</v>
      </c>
      <c r="P22" s="97">
        <f>SUM(P23:P29)</f>
        <v>28639066835</v>
      </c>
      <c r="Q22" s="98">
        <f t="shared" si="2"/>
        <v>0.70541304716803643</v>
      </c>
      <c r="R22" s="97">
        <f>SUM(R23:R29)</f>
        <v>16793038427</v>
      </c>
      <c r="S22" s="98">
        <f t="shared" si="3"/>
        <v>-0.12358996640472253</v>
      </c>
      <c r="T22" s="97">
        <f>SUM(T23:T29)</f>
        <v>19161166330</v>
      </c>
      <c r="U22" s="98">
        <f t="shared" si="4"/>
        <v>0.12157279664233833</v>
      </c>
      <c r="V22" s="97">
        <f>SUM(V23:V29)</f>
        <v>17084193186</v>
      </c>
      <c r="W22" s="98">
        <f t="shared" si="5"/>
        <v>-9.2288966264094552E-2</v>
      </c>
      <c r="X22" s="97">
        <f>SUM(X23:X29)</f>
        <v>18821180476</v>
      </c>
      <c r="Y22" s="98">
        <f t="shared" si="6"/>
        <v>0.39937730183820408</v>
      </c>
      <c r="Z22" s="97">
        <f>SUM(Z23:Z29)</f>
        <v>13449682549</v>
      </c>
      <c r="AA22" s="98">
        <f t="shared" si="7"/>
        <v>4.0115147188841016E-2</v>
      </c>
      <c r="AB22" s="97">
        <f>SUM(AB23:AB29)</f>
        <v>12930955371</v>
      </c>
      <c r="AC22" s="98">
        <f t="shared" si="8"/>
        <v>-0.38906074844317429</v>
      </c>
      <c r="AD22" s="97">
        <v>21165697470</v>
      </c>
      <c r="AE22" s="98">
        <f t="shared" si="9"/>
        <v>-0.24308281408937038</v>
      </c>
      <c r="AF22" s="99">
        <v>27963029330</v>
      </c>
      <c r="AG22" s="98">
        <f t="shared" si="19"/>
        <v>9.7147936534569546E-2</v>
      </c>
      <c r="AH22" s="97">
        <f>SUM(AH23:AH29)</f>
        <v>38704221493</v>
      </c>
      <c r="AI22" s="98">
        <f t="shared" si="20"/>
        <v>1.18541169248331</v>
      </c>
      <c r="AJ22" s="97">
        <f>SUM(AJ23:AJ29)</f>
        <v>17710265588</v>
      </c>
      <c r="AK22" s="98">
        <f t="shared" si="10"/>
        <v>0.31677944988499229</v>
      </c>
      <c r="AL22" s="99">
        <v>13449682549</v>
      </c>
      <c r="AM22" s="98">
        <f t="shared" si="11"/>
        <v>-0.47229281629193354</v>
      </c>
      <c r="AN22" s="99">
        <v>25487018112</v>
      </c>
      <c r="AO22" s="98">
        <f t="shared" si="12"/>
        <v>0.71919453275060619</v>
      </c>
      <c r="AP22" s="99">
        <v>14824976247</v>
      </c>
      <c r="AQ22" s="98">
        <f t="shared" si="13"/>
        <v>2.8571926705324158E-2</v>
      </c>
      <c r="AR22" s="99">
        <v>14413164371</v>
      </c>
      <c r="AS22" s="98">
        <f t="shared" si="14"/>
        <v>1.6114735065201127</v>
      </c>
      <c r="AT22" s="100">
        <v>5519169287</v>
      </c>
    </row>
    <row r="23" spans="1:46" ht="16.95" customHeight="1" x14ac:dyDescent="0.4">
      <c r="A23" s="101">
        <v>22</v>
      </c>
      <c r="B23" s="26" t="s">
        <v>101</v>
      </c>
      <c r="C23" s="27" t="s">
        <v>252</v>
      </c>
      <c r="D23" s="80">
        <v>5110677704</v>
      </c>
      <c r="E23" s="59">
        <f t="shared" si="21"/>
        <v>0.31081005225764935</v>
      </c>
      <c r="F23" s="80">
        <v>3898869783</v>
      </c>
      <c r="G23" s="59">
        <f t="shared" si="22"/>
        <v>-0.17593925149464074</v>
      </c>
      <c r="H23" s="80">
        <v>4731289277</v>
      </c>
      <c r="I23" s="59">
        <f t="shared" si="23"/>
        <v>1.2265215033035726</v>
      </c>
      <c r="J23" s="80">
        <v>2124969047</v>
      </c>
      <c r="K23" s="59">
        <f t="shared" si="18"/>
        <v>-0.36407939574756809</v>
      </c>
      <c r="L23" s="80">
        <v>3341563448</v>
      </c>
      <c r="M23" s="59">
        <f t="shared" si="0"/>
        <v>0.36843959754203315</v>
      </c>
      <c r="N23" s="80">
        <v>2441878658</v>
      </c>
      <c r="O23" s="59">
        <f t="shared" si="1"/>
        <v>-0.34486049337042601</v>
      </c>
      <c r="P23" s="80">
        <v>3727265160</v>
      </c>
      <c r="Q23" s="59">
        <f t="shared" si="2"/>
        <v>1.114541447143981</v>
      </c>
      <c r="R23" s="80">
        <v>1762682479</v>
      </c>
      <c r="S23" s="59">
        <f t="shared" si="3"/>
        <v>-8.1383812884977091E-2</v>
      </c>
      <c r="T23" s="80">
        <v>1918845437</v>
      </c>
      <c r="U23" s="59">
        <f t="shared" si="4"/>
        <v>-2.4063498011374085E-2</v>
      </c>
      <c r="V23" s="80">
        <v>1966158078</v>
      </c>
      <c r="W23" s="59">
        <f t="shared" si="5"/>
        <v>2.6265842484862079E-2</v>
      </c>
      <c r="X23" s="80">
        <v>1915837005</v>
      </c>
      <c r="Y23" s="59">
        <f t="shared" si="6"/>
        <v>1.2798630533494002</v>
      </c>
      <c r="Z23" s="80">
        <v>840329862</v>
      </c>
      <c r="AA23" s="59">
        <f t="shared" si="7"/>
        <v>0.23740619416077169</v>
      </c>
      <c r="AB23" s="80">
        <v>679105912</v>
      </c>
      <c r="AC23" s="59">
        <f t="shared" si="8"/>
        <v>0.38845435932027295</v>
      </c>
      <c r="AD23" s="80">
        <v>489109280</v>
      </c>
      <c r="AE23" s="59">
        <f t="shared" si="9"/>
        <v>-0.48081505522004575</v>
      </c>
      <c r="AF23" s="21">
        <v>942071385</v>
      </c>
      <c r="AG23" s="59">
        <f t="shared" si="19"/>
        <v>0.33473270681146516</v>
      </c>
      <c r="AH23" s="80">
        <v>2124969047</v>
      </c>
      <c r="AI23" s="59">
        <f t="shared" si="20"/>
        <v>0.20553138317091091</v>
      </c>
      <c r="AJ23" s="80">
        <v>1762682479</v>
      </c>
      <c r="AK23" s="59">
        <f t="shared" si="10"/>
        <v>1.0976078070161455</v>
      </c>
      <c r="AL23" s="21">
        <v>840329862</v>
      </c>
      <c r="AM23" s="59">
        <f t="shared" si="11"/>
        <v>0.19058467243622412</v>
      </c>
      <c r="AN23" s="21">
        <v>705812767</v>
      </c>
      <c r="AO23" s="59">
        <f t="shared" si="12"/>
        <v>-0.168709180831635</v>
      </c>
      <c r="AP23" s="21">
        <v>849056372</v>
      </c>
      <c r="AQ23" s="59">
        <f t="shared" si="13"/>
        <v>0.51744484430085436</v>
      </c>
      <c r="AR23" s="21">
        <v>559530302</v>
      </c>
      <c r="AS23" s="59">
        <f t="shared" si="14"/>
        <v>1.7633315339446787E-2</v>
      </c>
      <c r="AT23" s="24">
        <v>549834890</v>
      </c>
    </row>
    <row r="24" spans="1:46" ht="13.2" customHeight="1" x14ac:dyDescent="0.4">
      <c r="A24" s="70">
        <v>23</v>
      </c>
      <c r="B24" s="29" t="s">
        <v>250</v>
      </c>
      <c r="C24" s="30" t="s">
        <v>251</v>
      </c>
      <c r="D24" s="81">
        <v>2600000000</v>
      </c>
      <c r="E24" s="59">
        <f t="shared" si="21"/>
        <v>8.3333333333333259E-2</v>
      </c>
      <c r="F24" s="81">
        <v>2400000000</v>
      </c>
      <c r="G24" s="59">
        <f t="shared" si="22"/>
        <v>0</v>
      </c>
      <c r="H24" s="81">
        <v>2400000000</v>
      </c>
      <c r="I24" s="59">
        <f t="shared" si="23"/>
        <v>0</v>
      </c>
      <c r="J24" s="81">
        <v>2400000000</v>
      </c>
      <c r="K24" s="59">
        <f t="shared" si="18"/>
        <v>0</v>
      </c>
      <c r="L24" s="81">
        <v>2400000000</v>
      </c>
      <c r="M24" s="59">
        <f t="shared" si="0"/>
        <v>0</v>
      </c>
      <c r="N24" s="81">
        <v>2400000000</v>
      </c>
      <c r="O24" s="59">
        <f t="shared" si="1"/>
        <v>0</v>
      </c>
      <c r="P24" s="81">
        <v>2400000000</v>
      </c>
      <c r="Q24" s="59">
        <f t="shared" si="2"/>
        <v>0</v>
      </c>
      <c r="R24" s="81"/>
      <c r="S24" s="21">
        <f t="shared" si="3"/>
        <v>0</v>
      </c>
      <c r="T24" s="81"/>
      <c r="U24" s="21">
        <f t="shared" si="4"/>
        <v>0</v>
      </c>
      <c r="V24" s="81">
        <v>0</v>
      </c>
      <c r="W24" s="21">
        <f t="shared" si="5"/>
        <v>0</v>
      </c>
      <c r="X24" s="81">
        <v>0</v>
      </c>
      <c r="Y24" s="21">
        <f t="shared" si="6"/>
        <v>0</v>
      </c>
      <c r="Z24" s="81">
        <v>0</v>
      </c>
      <c r="AA24" s="21">
        <f t="shared" si="7"/>
        <v>0</v>
      </c>
      <c r="AB24" s="81">
        <v>0</v>
      </c>
      <c r="AC24" s="21">
        <f t="shared" si="8"/>
        <v>-1</v>
      </c>
      <c r="AD24" s="81">
        <v>8400000000</v>
      </c>
      <c r="AE24" s="21">
        <f t="shared" si="9"/>
        <v>-6.6666666666666652E-2</v>
      </c>
      <c r="AF24" s="21">
        <v>9000000000</v>
      </c>
      <c r="AG24" s="21">
        <f t="shared" si="19"/>
        <v>-6.25E-2</v>
      </c>
      <c r="AH24" s="81">
        <v>2400000000</v>
      </c>
      <c r="AI24" s="21">
        <f t="shared" si="20"/>
        <v>0</v>
      </c>
      <c r="AJ24" s="81"/>
      <c r="AK24" s="21">
        <f t="shared" si="10"/>
        <v>0</v>
      </c>
      <c r="AL24" s="21">
        <v>0</v>
      </c>
      <c r="AM24" s="21">
        <f t="shared" si="11"/>
        <v>-1</v>
      </c>
      <c r="AN24" s="21">
        <v>9600000000</v>
      </c>
      <c r="AO24" s="21">
        <f t="shared" si="12"/>
        <v>0.64345210675837494</v>
      </c>
      <c r="AP24" s="21">
        <v>5841362800</v>
      </c>
      <c r="AQ24" s="21">
        <f t="shared" si="13"/>
        <v>-0.21062664864864866</v>
      </c>
      <c r="AR24" s="21">
        <v>7400000000</v>
      </c>
      <c r="AS24" s="21">
        <f t="shared" si="14"/>
        <v>0</v>
      </c>
      <c r="AT24" s="24">
        <v>0</v>
      </c>
    </row>
    <row r="25" spans="1:46" ht="16.95" customHeight="1" x14ac:dyDescent="0.4">
      <c r="A25" s="101">
        <v>24</v>
      </c>
      <c r="B25" s="26" t="s">
        <v>102</v>
      </c>
      <c r="C25" s="27" t="s">
        <v>103</v>
      </c>
      <c r="D25" s="80">
        <v>7499495845</v>
      </c>
      <c r="E25" s="59">
        <f t="shared" si="21"/>
        <v>-0.57255609484955405</v>
      </c>
      <c r="F25" s="80">
        <v>17544982522</v>
      </c>
      <c r="G25" s="59">
        <f t="shared" si="22"/>
        <v>-0.21579567087335794</v>
      </c>
      <c r="H25" s="80">
        <v>22372973306</v>
      </c>
      <c r="I25" s="59">
        <f t="shared" si="23"/>
        <v>0.23209060798070791</v>
      </c>
      <c r="J25" s="80">
        <v>18158545452</v>
      </c>
      <c r="K25" s="59">
        <f t="shared" si="18"/>
        <v>1.7473177254209116</v>
      </c>
      <c r="L25" s="80">
        <v>6609554215</v>
      </c>
      <c r="M25" s="59">
        <f t="shared" si="0"/>
        <v>-0.11973659295110139</v>
      </c>
      <c r="N25" s="80">
        <v>7508609539</v>
      </c>
      <c r="O25" s="59">
        <f t="shared" si="1"/>
        <v>4.2161541083615806E-2</v>
      </c>
      <c r="P25" s="80">
        <v>7204842285</v>
      </c>
      <c r="Q25" s="59">
        <f t="shared" si="2"/>
        <v>0.20772047994259313</v>
      </c>
      <c r="R25" s="80">
        <v>5965653812</v>
      </c>
      <c r="S25" s="59">
        <f t="shared" si="3"/>
        <v>-0.23640901626317645</v>
      </c>
      <c r="T25" s="80">
        <v>7812629980</v>
      </c>
      <c r="U25" s="59">
        <f t="shared" si="4"/>
        <v>0.22034485022433481</v>
      </c>
      <c r="V25" s="80">
        <v>6401985454</v>
      </c>
      <c r="W25" s="59">
        <f t="shared" si="5"/>
        <v>0.19556045205342221</v>
      </c>
      <c r="X25" s="80">
        <v>5354798616</v>
      </c>
      <c r="Y25" s="59">
        <f t="shared" si="6"/>
        <v>0.21797188833176651</v>
      </c>
      <c r="Z25" s="80">
        <v>4396487856</v>
      </c>
      <c r="AA25" s="59">
        <f t="shared" si="7"/>
        <v>-0.20930506398962612</v>
      </c>
      <c r="AB25" s="80">
        <v>5560283310</v>
      </c>
      <c r="AC25" s="59">
        <f t="shared" si="8"/>
        <v>0.15720260202095204</v>
      </c>
      <c r="AD25" s="80">
        <v>4804935022</v>
      </c>
      <c r="AE25" s="59">
        <f t="shared" si="9"/>
        <v>-0.34257616726424744</v>
      </c>
      <c r="AF25" s="21">
        <v>7308732636</v>
      </c>
      <c r="AG25" s="59">
        <f t="shared" si="19"/>
        <v>5.9593815359333391E-3</v>
      </c>
      <c r="AH25" s="80">
        <v>20637541643</v>
      </c>
      <c r="AI25" s="59">
        <f t="shared" si="20"/>
        <v>1.9983871178299397</v>
      </c>
      <c r="AJ25" s="80">
        <v>6882880973</v>
      </c>
      <c r="AK25" s="59">
        <f t="shared" si="10"/>
        <v>0.56554076763950456</v>
      </c>
      <c r="AL25" s="21">
        <v>4396487856</v>
      </c>
      <c r="AM25" s="59">
        <f t="shared" si="11"/>
        <v>-0.39487618102657851</v>
      </c>
      <c r="AN25" s="21">
        <v>7265435136</v>
      </c>
      <c r="AO25" s="59">
        <f t="shared" si="12"/>
        <v>2.8855789835250674</v>
      </c>
      <c r="AP25" s="21">
        <v>1869846210</v>
      </c>
      <c r="AQ25" s="59">
        <f t="shared" si="13"/>
        <v>0.34888724540832405</v>
      </c>
      <c r="AR25" s="21">
        <v>1386213871</v>
      </c>
      <c r="AS25" s="59">
        <f t="shared" si="14"/>
        <v>0.19660885703575959</v>
      </c>
      <c r="AT25" s="24">
        <v>1158451956</v>
      </c>
    </row>
    <row r="26" spans="1:46" ht="16.95" customHeight="1" x14ac:dyDescent="0.4">
      <c r="A26" s="70">
        <v>25</v>
      </c>
      <c r="B26" s="29" t="s">
        <v>104</v>
      </c>
      <c r="C26" s="30" t="s">
        <v>105</v>
      </c>
      <c r="D26" s="81">
        <v>5651743912</v>
      </c>
      <c r="E26" s="59">
        <f t="shared" si="21"/>
        <v>0.30065959381344065</v>
      </c>
      <c r="F26" s="81">
        <v>4345290604</v>
      </c>
      <c r="G26" s="59">
        <f t="shared" si="22"/>
        <v>-0.58010003275174649</v>
      </c>
      <c r="H26" s="81">
        <v>10348394720</v>
      </c>
      <c r="I26" s="59">
        <f t="shared" si="23"/>
        <v>0.89348117587640163</v>
      </c>
      <c r="J26" s="81">
        <v>5465274676</v>
      </c>
      <c r="K26" s="59">
        <f t="shared" si="18"/>
        <v>0.25597434896026194</v>
      </c>
      <c r="L26" s="81">
        <v>4351422209</v>
      </c>
      <c r="M26" s="59">
        <f t="shared" si="0"/>
        <v>0.27157998805109562</v>
      </c>
      <c r="N26" s="81">
        <v>3422059367</v>
      </c>
      <c r="O26" s="59">
        <f t="shared" si="1"/>
        <v>-0.52694788787707103</v>
      </c>
      <c r="P26" s="81">
        <v>7234000820</v>
      </c>
      <c r="Q26" s="59">
        <f t="shared" si="2"/>
        <v>6.3800669952693667</v>
      </c>
      <c r="R26" s="81">
        <v>980208015</v>
      </c>
      <c r="S26" s="59">
        <f t="shared" si="3"/>
        <v>-0.71071887748755092</v>
      </c>
      <c r="T26" s="81">
        <v>3388427169</v>
      </c>
      <c r="U26" s="59">
        <f t="shared" si="4"/>
        <v>0.35423362012436099</v>
      </c>
      <c r="V26" s="81">
        <v>2502099430</v>
      </c>
      <c r="W26" s="59">
        <f t="shared" si="5"/>
        <v>-0.52625788789813555</v>
      </c>
      <c r="X26" s="81">
        <v>5281564307</v>
      </c>
      <c r="Y26" s="59">
        <f t="shared" si="6"/>
        <v>8.0993793878440385</v>
      </c>
      <c r="Z26" s="81">
        <v>580431267</v>
      </c>
      <c r="AA26" s="59">
        <f t="shared" si="7"/>
        <v>-0.22448346881156112</v>
      </c>
      <c r="AB26" s="81">
        <v>748444738</v>
      </c>
      <c r="AC26" s="59">
        <f t="shared" si="8"/>
        <v>1.0306075892790201E-2</v>
      </c>
      <c r="AD26" s="81">
        <v>740809895</v>
      </c>
      <c r="AE26" s="59">
        <f t="shared" si="9"/>
        <v>-0.79145633757097278</v>
      </c>
      <c r="AF26" s="21">
        <v>3552301165</v>
      </c>
      <c r="AG26" s="59">
        <f t="shared" si="19"/>
        <v>3.4321395465097888</v>
      </c>
      <c r="AH26" s="81">
        <v>5465274676</v>
      </c>
      <c r="AI26" s="59">
        <f t="shared" si="20"/>
        <v>4.5756274100656071</v>
      </c>
      <c r="AJ26" s="81">
        <v>980208015</v>
      </c>
      <c r="AK26" s="59">
        <f t="shared" si="10"/>
        <v>0.68875811957249367</v>
      </c>
      <c r="AL26" s="21">
        <v>580431267</v>
      </c>
      <c r="AM26" s="59">
        <f t="shared" si="11"/>
        <v>-0.27580679311533485</v>
      </c>
      <c r="AN26" s="21">
        <v>801486760</v>
      </c>
      <c r="AO26" s="59">
        <f t="shared" si="12"/>
        <v>0.3080415510774992</v>
      </c>
      <c r="AP26" s="21">
        <v>612737997</v>
      </c>
      <c r="AQ26" s="59">
        <f t="shared" si="13"/>
        <v>0.91543864663717045</v>
      </c>
      <c r="AR26" s="21">
        <v>319894348</v>
      </c>
      <c r="AS26" s="59">
        <f t="shared" si="14"/>
        <v>-7.0347203962275229E-2</v>
      </c>
      <c r="AT26" s="24">
        <v>344100883</v>
      </c>
    </row>
    <row r="27" spans="1:46" ht="16.95" customHeight="1" x14ac:dyDescent="0.4">
      <c r="A27" s="101">
        <v>26</v>
      </c>
      <c r="B27" s="26" t="s">
        <v>106</v>
      </c>
      <c r="C27" s="27" t="s">
        <v>253</v>
      </c>
      <c r="D27" s="80">
        <v>5309121304</v>
      </c>
      <c r="E27" s="59">
        <f t="shared" si="21"/>
        <v>0.138909799083206</v>
      </c>
      <c r="F27" s="80">
        <v>4661581899</v>
      </c>
      <c r="G27" s="59">
        <f t="shared" si="22"/>
        <v>-3.4034623762979055E-2</v>
      </c>
      <c r="H27" s="80">
        <v>4825827109</v>
      </c>
      <c r="I27" s="59">
        <f t="shared" si="23"/>
        <v>-0.23316590483599242</v>
      </c>
      <c r="J27" s="80">
        <v>6293182762</v>
      </c>
      <c r="K27" s="59">
        <f t="shared" si="18"/>
        <v>-0.50173974025480272</v>
      </c>
      <c r="L27" s="80">
        <v>12630312450</v>
      </c>
      <c r="M27" s="59">
        <f t="shared" si="0"/>
        <v>0.90489023594487161</v>
      </c>
      <c r="N27" s="80">
        <v>6630467316</v>
      </c>
      <c r="O27" s="59">
        <f t="shared" si="1"/>
        <v>-8.4819524052589523E-3</v>
      </c>
      <c r="P27" s="80">
        <v>6687187724</v>
      </c>
      <c r="Q27" s="59">
        <f t="shared" si="2"/>
        <v>-8.250350992475286E-3</v>
      </c>
      <c r="R27" s="80">
        <v>6742818342</v>
      </c>
      <c r="S27" s="59">
        <f t="shared" si="3"/>
        <v>0.39352224850364337</v>
      </c>
      <c r="T27" s="80">
        <v>4838687254</v>
      </c>
      <c r="U27" s="59">
        <f t="shared" si="4"/>
        <v>-4.497923346014987E-2</v>
      </c>
      <c r="V27" s="80">
        <v>5066578051</v>
      </c>
      <c r="W27" s="59">
        <f t="shared" si="5"/>
        <v>-3.3766768305812378E-2</v>
      </c>
      <c r="X27" s="80">
        <v>5243638787</v>
      </c>
      <c r="Y27" s="59">
        <f t="shared" si="6"/>
        <v>-0.21044675060758711</v>
      </c>
      <c r="Z27" s="80">
        <v>6641273139</v>
      </c>
      <c r="AA27" s="59">
        <f t="shared" si="7"/>
        <v>0.32174822119958102</v>
      </c>
      <c r="AB27" s="80">
        <v>5024612882</v>
      </c>
      <c r="AC27" s="59">
        <f t="shared" si="8"/>
        <v>-0.1440360544731496</v>
      </c>
      <c r="AD27" s="80">
        <v>5870122110</v>
      </c>
      <c r="AE27" s="59">
        <f t="shared" si="9"/>
        <v>-5.4795979364599234E-2</v>
      </c>
      <c r="AF27" s="21">
        <v>6210428629</v>
      </c>
      <c r="AG27" s="59">
        <f t="shared" si="19"/>
        <v>7.2256553714327154E-3</v>
      </c>
      <c r="AH27" s="80">
        <v>6293182762</v>
      </c>
      <c r="AI27" s="59">
        <f t="shared" si="20"/>
        <v>-6.668362651849713E-2</v>
      </c>
      <c r="AJ27" s="80">
        <v>6742818342</v>
      </c>
      <c r="AK27" s="59">
        <f t="shared" si="10"/>
        <v>1.5290020584108888E-2</v>
      </c>
      <c r="AL27" s="21">
        <v>6641273139</v>
      </c>
      <c r="AM27" s="59">
        <f t="shared" si="11"/>
        <v>7.7101290351205387E-2</v>
      </c>
      <c r="AN27" s="21">
        <v>6165876133</v>
      </c>
      <c r="AO27" s="59">
        <f t="shared" si="12"/>
        <v>0.19082224196948339</v>
      </c>
      <c r="AP27" s="21">
        <v>5177830843</v>
      </c>
      <c r="AQ27" s="59">
        <f t="shared" si="13"/>
        <v>0.14468472640301622</v>
      </c>
      <c r="AR27" s="21">
        <v>4523368508</v>
      </c>
      <c r="AS27" s="59">
        <f t="shared" si="14"/>
        <v>0.3643206521711182</v>
      </c>
      <c r="AT27" s="24">
        <v>3315473163</v>
      </c>
    </row>
    <row r="28" spans="1:46" ht="16.95" customHeight="1" x14ac:dyDescent="0.4">
      <c r="A28" s="70">
        <v>27</v>
      </c>
      <c r="B28" s="29" t="s">
        <v>108</v>
      </c>
      <c r="C28" s="30" t="s">
        <v>109</v>
      </c>
      <c r="D28" s="81">
        <v>1319069066</v>
      </c>
      <c r="E28" s="59">
        <f t="shared" si="21"/>
        <v>8.5877925923304232E-2</v>
      </c>
      <c r="F28" s="81">
        <v>1214748946</v>
      </c>
      <c r="G28" s="59">
        <f t="shared" si="22"/>
        <v>0.10193863799636627</v>
      </c>
      <c r="H28" s="81">
        <v>1102374401</v>
      </c>
      <c r="I28" s="59">
        <f t="shared" si="23"/>
        <v>-0.10079996035727801</v>
      </c>
      <c r="J28" s="81">
        <v>1225950125</v>
      </c>
      <c r="K28" s="59">
        <f t="shared" si="18"/>
        <v>0.13426497469822363</v>
      </c>
      <c r="L28" s="81">
        <v>1080832215</v>
      </c>
      <c r="M28" s="59">
        <f t="shared" si="0"/>
        <v>0.14013120153986214</v>
      </c>
      <c r="N28" s="81">
        <v>947989331</v>
      </c>
      <c r="O28" s="59">
        <f t="shared" si="1"/>
        <v>4.8676967831733142E-2</v>
      </c>
      <c r="P28" s="81">
        <v>903986032</v>
      </c>
      <c r="Q28" s="59">
        <f t="shared" si="2"/>
        <v>9.2402196206559983E-2</v>
      </c>
      <c r="R28" s="81">
        <v>827521251</v>
      </c>
      <c r="S28" s="59">
        <f t="shared" si="3"/>
        <v>4.6913207792631528E-2</v>
      </c>
      <c r="T28" s="81">
        <v>790439212</v>
      </c>
      <c r="U28" s="59">
        <f t="shared" si="4"/>
        <v>3.7989449778255135E-2</v>
      </c>
      <c r="V28" s="81">
        <v>761509871</v>
      </c>
      <c r="W28" s="59">
        <f t="shared" si="5"/>
        <v>0.15676140989448228</v>
      </c>
      <c r="X28" s="81">
        <v>658311960</v>
      </c>
      <c r="Y28" s="59">
        <f t="shared" si="6"/>
        <v>-0.15120152043335811</v>
      </c>
      <c r="Z28" s="81">
        <v>775580984</v>
      </c>
      <c r="AA28" s="59">
        <f t="shared" si="7"/>
        <v>6.9477546140703561E-2</v>
      </c>
      <c r="AB28" s="81">
        <v>725196136</v>
      </c>
      <c r="AC28" s="59">
        <f t="shared" si="8"/>
        <v>5.7746504979518498E-2</v>
      </c>
      <c r="AD28" s="81">
        <v>685604852</v>
      </c>
      <c r="AE28" s="59">
        <f t="shared" si="9"/>
        <v>-7.4821907378836539E-2</v>
      </c>
      <c r="AF28" s="21">
        <v>741051758</v>
      </c>
      <c r="AG28" s="59">
        <f t="shared" si="19"/>
        <v>-1.9940614824146441E-2</v>
      </c>
      <c r="AH28" s="81">
        <v>1225950125</v>
      </c>
      <c r="AI28" s="59">
        <f t="shared" si="20"/>
        <v>0.48147267942488159</v>
      </c>
      <c r="AJ28" s="81">
        <v>827521251</v>
      </c>
      <c r="AK28" s="59">
        <f t="shared" si="10"/>
        <v>6.6969495219083353E-2</v>
      </c>
      <c r="AL28" s="21">
        <v>775580984</v>
      </c>
      <c r="AM28" s="59">
        <f t="shared" si="11"/>
        <v>2.5725145547962569E-2</v>
      </c>
      <c r="AN28" s="21">
        <v>756129444</v>
      </c>
      <c r="AO28" s="59">
        <f t="shared" si="12"/>
        <v>0.59473196665070982</v>
      </c>
      <c r="AP28" s="21">
        <v>474142025</v>
      </c>
      <c r="AQ28" s="59">
        <f t="shared" si="13"/>
        <v>1.1152196968859491</v>
      </c>
      <c r="AR28" s="21">
        <v>224157342</v>
      </c>
      <c r="AS28" s="59">
        <f t="shared" si="14"/>
        <v>0.48146004721020264</v>
      </c>
      <c r="AT28" s="24">
        <v>151308395</v>
      </c>
    </row>
    <row r="29" spans="1:46" ht="16.95" customHeight="1" x14ac:dyDescent="0.4">
      <c r="A29" s="101">
        <v>28</v>
      </c>
      <c r="B29" s="26" t="s">
        <v>110</v>
      </c>
      <c r="C29" s="27" t="s">
        <v>255</v>
      </c>
      <c r="D29" s="80">
        <v>804781659</v>
      </c>
      <c r="E29" s="59">
        <f t="shared" si="21"/>
        <v>3.6122990565827129E-2</v>
      </c>
      <c r="F29" s="80">
        <v>776724063</v>
      </c>
      <c r="G29" s="59">
        <f t="shared" si="22"/>
        <v>0.38428891238821916</v>
      </c>
      <c r="H29" s="80">
        <v>561099678</v>
      </c>
      <c r="I29" s="59">
        <f t="shared" si="23"/>
        <v>6.8121584938209967E-3</v>
      </c>
      <c r="J29" s="80">
        <v>557303240</v>
      </c>
      <c r="K29" s="59">
        <f t="shared" si="18"/>
        <v>3.8768338739830543E-2</v>
      </c>
      <c r="L29" s="80">
        <v>536503876</v>
      </c>
      <c r="M29" s="59">
        <f t="shared" si="0"/>
        <v>0.1183926607655581</v>
      </c>
      <c r="N29" s="80">
        <v>479709761</v>
      </c>
      <c r="O29" s="59">
        <f t="shared" si="1"/>
        <v>-4.3070120512349597E-3</v>
      </c>
      <c r="P29" s="80">
        <v>481784814</v>
      </c>
      <c r="Q29" s="59">
        <f t="shared" si="2"/>
        <v>-6.2957169950276115E-2</v>
      </c>
      <c r="R29" s="80">
        <v>514154528</v>
      </c>
      <c r="S29" s="59">
        <f t="shared" si="3"/>
        <v>0.24753220697497791</v>
      </c>
      <c r="T29" s="80">
        <v>412137278</v>
      </c>
      <c r="U29" s="59">
        <f t="shared" si="4"/>
        <v>6.809417728503564E-2</v>
      </c>
      <c r="V29" s="80">
        <v>385862302</v>
      </c>
      <c r="W29" s="59">
        <f t="shared" si="5"/>
        <v>5.1310550120697185E-2</v>
      </c>
      <c r="X29" s="80">
        <v>367029801</v>
      </c>
      <c r="Y29" s="59">
        <f t="shared" si="6"/>
        <v>0.70252691674805856</v>
      </c>
      <c r="Z29" s="80">
        <v>215579441</v>
      </c>
      <c r="AA29" s="59">
        <f t="shared" si="7"/>
        <v>0.11518686233427355</v>
      </c>
      <c r="AB29" s="80">
        <v>193312393</v>
      </c>
      <c r="AC29" s="59">
        <f t="shared" si="8"/>
        <v>0.10390855024350065</v>
      </c>
      <c r="AD29" s="80">
        <v>175116311</v>
      </c>
      <c r="AE29" s="59">
        <f t="shared" si="9"/>
        <v>-0.15988699532027717</v>
      </c>
      <c r="AF29" s="21">
        <v>208443757</v>
      </c>
      <c r="AG29" s="59">
        <f t="shared" si="19"/>
        <v>8.4075639239443944E-2</v>
      </c>
      <c r="AH29" s="80">
        <v>557303240</v>
      </c>
      <c r="AI29" s="59">
        <f t="shared" si="20"/>
        <v>8.3921680448567404E-2</v>
      </c>
      <c r="AJ29" s="80">
        <v>514154528</v>
      </c>
      <c r="AK29" s="59">
        <f t="shared" si="10"/>
        <v>1.3849886873025152</v>
      </c>
      <c r="AL29" s="21">
        <v>215579441</v>
      </c>
      <c r="AM29" s="59">
        <f t="shared" si="11"/>
        <v>0.12118695072722674</v>
      </c>
      <c r="AN29" s="21">
        <v>192277872</v>
      </c>
      <c r="AO29" s="59">
        <f t="shared" si="12"/>
        <v>0</v>
      </c>
      <c r="AP29" s="21">
        <v>0</v>
      </c>
      <c r="AQ29" s="59">
        <f t="shared" si="13"/>
        <v>0</v>
      </c>
      <c r="AR29" s="21">
        <v>0</v>
      </c>
      <c r="AS29" s="59">
        <f t="shared" si="14"/>
        <v>0</v>
      </c>
      <c r="AT29" s="24"/>
    </row>
    <row r="30" spans="1:46" s="101" customFormat="1" ht="13.2" x14ac:dyDescent="0.4">
      <c r="A30" s="70">
        <v>29</v>
      </c>
      <c r="B30" s="76" t="s">
        <v>111</v>
      </c>
      <c r="C30" s="77" t="s">
        <v>254</v>
      </c>
      <c r="D30" s="97">
        <f>SUM(D31:D36)</f>
        <v>63645798245</v>
      </c>
      <c r="E30" s="98">
        <f t="shared" si="21"/>
        <v>-1.6507518187110604E-2</v>
      </c>
      <c r="F30" s="97">
        <f>SUM(F31:F36)</f>
        <v>64714066881</v>
      </c>
      <c r="G30" s="98">
        <f t="shared" si="22"/>
        <v>-6.3769788098035907E-3</v>
      </c>
      <c r="H30" s="97">
        <f>SUM(H31:H36)</f>
        <v>65129395657</v>
      </c>
      <c r="I30" s="98">
        <f t="shared" si="23"/>
        <v>-7.6583066512118103E-3</v>
      </c>
      <c r="J30" s="97">
        <f>SUM(J31:J36)</f>
        <v>65632025837</v>
      </c>
      <c r="K30" s="98">
        <f t="shared" si="18"/>
        <v>-0.35400206414535229</v>
      </c>
      <c r="L30" s="97">
        <f>SUM(L31:L36)</f>
        <v>101597887848</v>
      </c>
      <c r="M30" s="98">
        <f t="shared" si="0"/>
        <v>-4.9794637311670886E-3</v>
      </c>
      <c r="N30" s="97">
        <f>SUM(N31:N36)</f>
        <v>102106322578</v>
      </c>
      <c r="O30" s="98">
        <f t="shared" si="1"/>
        <v>-8.8720497023933031E-3</v>
      </c>
      <c r="P30" s="97">
        <f>SUM(P31:P36)</f>
        <v>103020324013</v>
      </c>
      <c r="Q30" s="98">
        <f t="shared" si="2"/>
        <v>1.8743118158763328</v>
      </c>
      <c r="R30" s="97">
        <f>SUM(R31:R36)</f>
        <v>35841735557</v>
      </c>
      <c r="S30" s="98">
        <f t="shared" si="3"/>
        <v>80.29956016368466</v>
      </c>
      <c r="T30" s="97">
        <f>SUM(T31:T35)</f>
        <v>440860141</v>
      </c>
      <c r="U30" s="98">
        <f t="shared" si="4"/>
        <v>2.5557667739869894E-2</v>
      </c>
      <c r="V30" s="97">
        <f>SUM(V31:V35)</f>
        <v>429873575</v>
      </c>
      <c r="W30" s="98">
        <f t="shared" si="5"/>
        <v>-7.9575816770533825E-2</v>
      </c>
      <c r="X30" s="97">
        <f>SUM(X31:X35)</f>
        <v>467038549</v>
      </c>
      <c r="Y30" s="98">
        <f t="shared" si="6"/>
        <v>0.46153168069712014</v>
      </c>
      <c r="Z30" s="97">
        <f>SUM(Z31:Z35)</f>
        <v>319554174</v>
      </c>
      <c r="AA30" s="98">
        <f t="shared" si="7"/>
        <v>0.49374773419472051</v>
      </c>
      <c r="AB30" s="97">
        <f>SUM(AB31:AB35)</f>
        <v>213927805</v>
      </c>
      <c r="AC30" s="98">
        <f t="shared" si="8"/>
        <v>1.4630589169962072E-2</v>
      </c>
      <c r="AD30" s="97">
        <v>210843047</v>
      </c>
      <c r="AE30" s="98">
        <f t="shared" si="9"/>
        <v>-0.1450023161529822</v>
      </c>
      <c r="AF30" s="99">
        <v>246600723</v>
      </c>
      <c r="AG30" s="98">
        <f t="shared" si="19"/>
        <v>-2.8548205752902511E-2</v>
      </c>
      <c r="AH30" s="97">
        <f>SUM(AH31:AH36)</f>
        <v>65641853811</v>
      </c>
      <c r="AI30" s="98">
        <f t="shared" si="20"/>
        <v>0.83143625131591903</v>
      </c>
      <c r="AJ30" s="97">
        <f>SUM(AJ31:AJ36)</f>
        <v>35841735558</v>
      </c>
      <c r="AK30" s="98">
        <f t="shared" si="10"/>
        <v>111.1616879834591</v>
      </c>
      <c r="AL30" s="99">
        <v>319554174</v>
      </c>
      <c r="AM30" s="98">
        <f t="shared" si="11"/>
        <v>0.2588425204716418</v>
      </c>
      <c r="AN30" s="99">
        <v>253847617</v>
      </c>
      <c r="AO30" s="98">
        <f t="shared" si="12"/>
        <v>-0.97412148665033582</v>
      </c>
      <c r="AP30" s="99">
        <v>9809204013</v>
      </c>
      <c r="AQ30" s="98">
        <f t="shared" si="13"/>
        <v>-0.28169266441025764</v>
      </c>
      <c r="AR30" s="99">
        <v>13655998661</v>
      </c>
      <c r="AS30" s="98">
        <f t="shared" si="14"/>
        <v>69.756469746113993</v>
      </c>
      <c r="AT30" s="100">
        <v>193000000</v>
      </c>
    </row>
    <row r="31" spans="1:46" ht="16.95" customHeight="1" x14ac:dyDescent="0.4">
      <c r="A31" s="101">
        <v>30</v>
      </c>
      <c r="B31" s="29" t="s">
        <v>112</v>
      </c>
      <c r="C31" s="30" t="s">
        <v>256</v>
      </c>
      <c r="D31" s="81">
        <v>62600000000</v>
      </c>
      <c r="E31" s="59">
        <f t="shared" si="21"/>
        <v>-9.493670886076E-3</v>
      </c>
      <c r="F31" s="81">
        <v>63200000000</v>
      </c>
      <c r="G31" s="59">
        <f t="shared" si="22"/>
        <v>-9.4043887147335914E-3</v>
      </c>
      <c r="H31" s="81">
        <v>63800000000</v>
      </c>
      <c r="I31" s="59">
        <f t="shared" si="23"/>
        <v>-9.3167701863353658E-3</v>
      </c>
      <c r="J31" s="81">
        <v>64400000000</v>
      </c>
      <c r="K31" s="59">
        <f t="shared" si="18"/>
        <v>-0.35599999999999998</v>
      </c>
      <c r="L31" s="81">
        <v>100000000000</v>
      </c>
      <c r="M31" s="59">
        <f t="shared" si="0"/>
        <v>-5.9642147117295874E-3</v>
      </c>
      <c r="N31" s="81">
        <v>100600000000</v>
      </c>
      <c r="O31" s="59">
        <f t="shared" si="1"/>
        <v>-5.9288537549406772E-3</v>
      </c>
      <c r="P31" s="81">
        <v>101200000000</v>
      </c>
      <c r="Q31" s="59">
        <f t="shared" si="2"/>
        <v>1.8914285714285715</v>
      </c>
      <c r="R31" s="81">
        <v>35000000000</v>
      </c>
      <c r="S31" s="21">
        <f t="shared" si="3"/>
        <v>0</v>
      </c>
      <c r="T31" s="81">
        <v>0</v>
      </c>
      <c r="U31" s="21">
        <f t="shared" si="4"/>
        <v>0</v>
      </c>
      <c r="V31" s="81">
        <v>0</v>
      </c>
      <c r="W31" s="21">
        <f t="shared" si="5"/>
        <v>0</v>
      </c>
      <c r="X31" s="81">
        <v>0</v>
      </c>
      <c r="Y31" s="21">
        <f t="shared" si="6"/>
        <v>0</v>
      </c>
      <c r="Z31" s="81">
        <v>0</v>
      </c>
      <c r="AA31" s="21">
        <f t="shared" si="7"/>
        <v>0</v>
      </c>
      <c r="AB31" s="81">
        <v>0</v>
      </c>
      <c r="AC31" s="21">
        <f t="shared" si="8"/>
        <v>0</v>
      </c>
      <c r="AD31" s="81">
        <v>0</v>
      </c>
      <c r="AE31" s="21">
        <f t="shared" si="9"/>
        <v>0</v>
      </c>
      <c r="AF31" s="21">
        <v>0</v>
      </c>
      <c r="AG31" s="21" t="e">
        <f t="shared" si="19"/>
        <v>#DIV/0!</v>
      </c>
      <c r="AH31" s="81">
        <v>64400000000</v>
      </c>
      <c r="AI31" s="21">
        <f t="shared" si="20"/>
        <v>0.84000000000000008</v>
      </c>
      <c r="AJ31" s="81">
        <v>35000000000</v>
      </c>
      <c r="AK31" s="21">
        <f t="shared" si="10"/>
        <v>0</v>
      </c>
      <c r="AL31" s="21">
        <v>0</v>
      </c>
      <c r="AM31" s="21">
        <f t="shared" si="11"/>
        <v>0</v>
      </c>
      <c r="AN31" s="21">
        <v>0</v>
      </c>
      <c r="AO31" s="21">
        <f t="shared" si="12"/>
        <v>-1</v>
      </c>
      <c r="AP31" s="21">
        <v>9600000000</v>
      </c>
      <c r="AQ31" s="21">
        <f t="shared" si="13"/>
        <v>-0.19999999999999996</v>
      </c>
      <c r="AR31" s="21">
        <v>12000000000</v>
      </c>
      <c r="AS31" s="21">
        <f t="shared" si="14"/>
        <v>0</v>
      </c>
      <c r="AT31" s="24">
        <v>0</v>
      </c>
    </row>
    <row r="32" spans="1:46" ht="12.6" hidden="1" customHeight="1" x14ac:dyDescent="0.4">
      <c r="A32" s="70">
        <v>31</v>
      </c>
      <c r="B32" s="83" t="s">
        <v>113</v>
      </c>
      <c r="C32" s="30" t="s">
        <v>114</v>
      </c>
      <c r="D32" s="81"/>
      <c r="E32" s="59">
        <f t="shared" si="21"/>
        <v>0</v>
      </c>
      <c r="F32" s="81">
        <v>0</v>
      </c>
      <c r="G32" s="59">
        <f t="shared" si="22"/>
        <v>0</v>
      </c>
      <c r="H32" s="81" t="s">
        <v>32</v>
      </c>
      <c r="I32" s="59">
        <f t="shared" si="23"/>
        <v>0</v>
      </c>
      <c r="J32" s="81">
        <v>0</v>
      </c>
      <c r="K32" s="59">
        <f t="shared" si="18"/>
        <v>0</v>
      </c>
      <c r="L32" s="81" t="s">
        <v>32</v>
      </c>
      <c r="M32" s="59">
        <f t="shared" si="0"/>
        <v>0</v>
      </c>
      <c r="N32" s="81" t="s">
        <v>32</v>
      </c>
      <c r="O32" s="59">
        <f t="shared" si="1"/>
        <v>0</v>
      </c>
      <c r="P32" s="81" t="s">
        <v>32</v>
      </c>
      <c r="Q32" s="59">
        <f t="shared" si="2"/>
        <v>0</v>
      </c>
      <c r="R32" s="81"/>
      <c r="S32" s="21">
        <f t="shared" si="3"/>
        <v>0</v>
      </c>
      <c r="T32" s="81"/>
      <c r="U32" s="21">
        <f t="shared" si="4"/>
        <v>0</v>
      </c>
      <c r="V32" s="81"/>
      <c r="W32" s="21">
        <f t="shared" si="5"/>
        <v>0</v>
      </c>
      <c r="X32" s="81"/>
      <c r="Y32" s="21">
        <f t="shared" si="6"/>
        <v>0</v>
      </c>
      <c r="Z32" s="81"/>
      <c r="AA32" s="21">
        <f t="shared" si="7"/>
        <v>0</v>
      </c>
      <c r="AB32" s="81">
        <v>0</v>
      </c>
      <c r="AC32" s="21">
        <f t="shared" si="8"/>
        <v>0</v>
      </c>
      <c r="AD32" s="81">
        <v>0</v>
      </c>
      <c r="AE32" s="21">
        <f t="shared" si="9"/>
        <v>0</v>
      </c>
      <c r="AF32" s="21">
        <v>0</v>
      </c>
      <c r="AG32" s="21" t="e">
        <f t="shared" si="19"/>
        <v>#DIV/0!</v>
      </c>
      <c r="AH32" s="81">
        <v>0</v>
      </c>
      <c r="AI32" s="21">
        <f t="shared" si="20"/>
        <v>0</v>
      </c>
      <c r="AJ32" s="81"/>
      <c r="AK32" s="21">
        <f t="shared" si="10"/>
        <v>0</v>
      </c>
      <c r="AL32" s="21"/>
      <c r="AM32" s="21">
        <f t="shared" si="11"/>
        <v>0</v>
      </c>
      <c r="AN32" s="21">
        <v>0</v>
      </c>
      <c r="AO32" s="21">
        <f t="shared" si="12"/>
        <v>0</v>
      </c>
      <c r="AP32" s="21">
        <v>0</v>
      </c>
      <c r="AQ32" s="21">
        <f t="shared" si="13"/>
        <v>-1</v>
      </c>
      <c r="AR32" s="21">
        <v>1457998661</v>
      </c>
      <c r="AS32" s="21">
        <f t="shared" si="14"/>
        <v>0</v>
      </c>
      <c r="AT32" s="24">
        <v>0</v>
      </c>
    </row>
    <row r="33" spans="1:46" ht="16.95" customHeight="1" x14ac:dyDescent="0.4">
      <c r="A33" s="101">
        <v>32</v>
      </c>
      <c r="B33" s="26" t="s">
        <v>115</v>
      </c>
      <c r="C33" s="27" t="s">
        <v>116</v>
      </c>
      <c r="D33" s="80">
        <v>422422000</v>
      </c>
      <c r="E33" s="59">
        <f t="shared" si="21"/>
        <v>-0.47571588855571223</v>
      </c>
      <c r="F33" s="80">
        <v>805712000</v>
      </c>
      <c r="G33" s="59">
        <f t="shared" si="22"/>
        <v>3.8674147106142476E-2</v>
      </c>
      <c r="H33" s="80">
        <v>775712000</v>
      </c>
      <c r="I33" s="59">
        <f t="shared" si="23"/>
        <v>0.12306142067895154</v>
      </c>
      <c r="J33" s="80">
        <v>690712000</v>
      </c>
      <c r="K33" s="59">
        <f t="shared" si="18"/>
        <v>-7.3755015341043229E-2</v>
      </c>
      <c r="L33" s="80">
        <v>745712000</v>
      </c>
      <c r="M33" s="59">
        <f t="shared" si="0"/>
        <v>-0.12591456910637722</v>
      </c>
      <c r="N33" s="80">
        <v>853134000</v>
      </c>
      <c r="O33" s="59">
        <f t="shared" si="1"/>
        <v>-0.31932316723039078</v>
      </c>
      <c r="P33" s="80">
        <v>1253361300</v>
      </c>
      <c r="Q33" s="59">
        <f t="shared" si="2"/>
        <v>6.0413556179775281</v>
      </c>
      <c r="R33" s="80">
        <v>178000000</v>
      </c>
      <c r="S33" s="59">
        <f t="shared" si="3"/>
        <v>0</v>
      </c>
      <c r="T33" s="80">
        <v>178000000</v>
      </c>
      <c r="U33" s="59">
        <f t="shared" si="4"/>
        <v>0.20270270270270263</v>
      </c>
      <c r="V33" s="80">
        <v>148000000</v>
      </c>
      <c r="W33" s="59">
        <f t="shared" si="5"/>
        <v>0</v>
      </c>
      <c r="X33" s="80">
        <v>148000000</v>
      </c>
      <c r="Y33" s="59">
        <f t="shared" si="6"/>
        <v>0</v>
      </c>
      <c r="Z33" s="80">
        <v>148000000</v>
      </c>
      <c r="AA33" s="59">
        <f t="shared" si="7"/>
        <v>0</v>
      </c>
      <c r="AB33" s="80">
        <v>148000000</v>
      </c>
      <c r="AC33" s="59">
        <f t="shared" si="8"/>
        <v>0</v>
      </c>
      <c r="AD33" s="80">
        <v>148000000</v>
      </c>
      <c r="AE33" s="59">
        <f t="shared" si="9"/>
        <v>0</v>
      </c>
      <c r="AF33" s="21">
        <v>148000000</v>
      </c>
      <c r="AG33" s="59">
        <f t="shared" si="19"/>
        <v>0</v>
      </c>
      <c r="AH33" s="80">
        <v>690712000</v>
      </c>
      <c r="AI33" s="59">
        <f t="shared" si="20"/>
        <v>2.8804044943820224</v>
      </c>
      <c r="AJ33" s="80">
        <v>178000000</v>
      </c>
      <c r="AK33" s="59">
        <f t="shared" si="10"/>
        <v>0.20270270270270263</v>
      </c>
      <c r="AL33" s="21">
        <v>148000000</v>
      </c>
      <c r="AM33" s="59">
        <f t="shared" si="11"/>
        <v>0</v>
      </c>
      <c r="AN33" s="21">
        <v>148000000</v>
      </c>
      <c r="AO33" s="59">
        <f t="shared" si="12"/>
        <v>-0.28846153846153844</v>
      </c>
      <c r="AP33" s="21">
        <v>208000000</v>
      </c>
      <c r="AQ33" s="59">
        <f t="shared" si="13"/>
        <v>5.0505050505050608E-2</v>
      </c>
      <c r="AR33" s="21">
        <v>198000000</v>
      </c>
      <c r="AS33" s="59">
        <f t="shared" si="14"/>
        <v>2.5906735751295429E-2</v>
      </c>
      <c r="AT33" s="24">
        <v>193000000</v>
      </c>
    </row>
    <row r="34" spans="1:46" ht="16.95" hidden="1" customHeight="1" x14ac:dyDescent="0.4">
      <c r="A34" s="70">
        <v>33</v>
      </c>
      <c r="B34" s="29" t="s">
        <v>117</v>
      </c>
      <c r="C34" s="30" t="s">
        <v>118</v>
      </c>
      <c r="D34" s="81"/>
      <c r="E34" s="59">
        <f t="shared" si="21"/>
        <v>0</v>
      </c>
      <c r="F34" s="81">
        <v>0</v>
      </c>
      <c r="G34" s="59">
        <f t="shared" si="22"/>
        <v>0</v>
      </c>
      <c r="H34" s="81" t="s">
        <v>32</v>
      </c>
      <c r="I34" s="59">
        <f t="shared" si="23"/>
        <v>0</v>
      </c>
      <c r="J34" s="81">
        <v>0</v>
      </c>
      <c r="K34" s="59">
        <f t="shared" si="18"/>
        <v>0</v>
      </c>
      <c r="L34" s="81" t="s">
        <v>32</v>
      </c>
      <c r="M34" s="59">
        <f t="shared" si="0"/>
        <v>0</v>
      </c>
      <c r="N34" s="81" t="s">
        <v>32</v>
      </c>
      <c r="O34" s="59">
        <f t="shared" si="1"/>
        <v>0</v>
      </c>
      <c r="P34" s="81" t="s">
        <v>32</v>
      </c>
      <c r="Q34" s="59">
        <f t="shared" si="2"/>
        <v>0</v>
      </c>
      <c r="R34" s="81"/>
      <c r="S34" s="21">
        <f t="shared" si="3"/>
        <v>0</v>
      </c>
      <c r="T34" s="81"/>
      <c r="U34" s="21">
        <f t="shared" si="4"/>
        <v>0</v>
      </c>
      <c r="V34" s="81">
        <v>0</v>
      </c>
      <c r="W34" s="21">
        <f t="shared" si="5"/>
        <v>0</v>
      </c>
      <c r="X34" s="81">
        <v>0</v>
      </c>
      <c r="Y34" s="21">
        <f t="shared" si="6"/>
        <v>0</v>
      </c>
      <c r="Z34" s="81">
        <v>0</v>
      </c>
      <c r="AA34" s="21">
        <f t="shared" si="7"/>
        <v>0</v>
      </c>
      <c r="AB34" s="81">
        <v>0</v>
      </c>
      <c r="AC34" s="21">
        <f t="shared" si="8"/>
        <v>-1</v>
      </c>
      <c r="AD34" s="81">
        <v>21828999</v>
      </c>
      <c r="AE34" s="21">
        <f t="shared" si="9"/>
        <v>-0.37333619301877707</v>
      </c>
      <c r="AF34" s="21">
        <v>34833668</v>
      </c>
      <c r="AG34" s="59">
        <f t="shared" si="19"/>
        <v>0.30406407727452578</v>
      </c>
      <c r="AH34" s="81">
        <v>0</v>
      </c>
      <c r="AI34" s="59">
        <f t="shared" si="20"/>
        <v>0</v>
      </c>
      <c r="AJ34" s="81"/>
      <c r="AK34" s="59">
        <f t="shared" si="10"/>
        <v>0</v>
      </c>
      <c r="AL34" s="21">
        <v>0</v>
      </c>
      <c r="AM34" s="59">
        <f t="shared" si="11"/>
        <v>-1</v>
      </c>
      <c r="AN34" s="21">
        <v>26711623</v>
      </c>
      <c r="AO34" s="59">
        <f t="shared" si="12"/>
        <v>21.185493844335568</v>
      </c>
      <c r="AP34" s="21">
        <v>1204013</v>
      </c>
      <c r="AQ34" s="59">
        <f t="shared" si="13"/>
        <v>0</v>
      </c>
      <c r="AR34" s="21">
        <v>0</v>
      </c>
      <c r="AS34" s="59">
        <f t="shared" si="14"/>
        <v>0</v>
      </c>
      <c r="AT34" s="24">
        <v>0</v>
      </c>
    </row>
    <row r="35" spans="1:46" ht="16.95" customHeight="1" x14ac:dyDescent="0.4">
      <c r="A35" s="101">
        <v>34</v>
      </c>
      <c r="B35" s="26" t="s">
        <v>119</v>
      </c>
      <c r="C35" s="27" t="s">
        <v>120</v>
      </c>
      <c r="D35" s="80">
        <v>623376245</v>
      </c>
      <c r="E35" s="59">
        <f t="shared" si="21"/>
        <v>-0.11996618965910677</v>
      </c>
      <c r="F35" s="80">
        <v>708354881</v>
      </c>
      <c r="G35" s="59">
        <f t="shared" si="22"/>
        <v>0.27934944809107853</v>
      </c>
      <c r="H35" s="80">
        <v>553683657</v>
      </c>
      <c r="I35" s="59">
        <f t="shared" si="23"/>
        <v>2.2851475714263048E-2</v>
      </c>
      <c r="J35" s="80">
        <v>541313837</v>
      </c>
      <c r="K35" s="59">
        <f t="shared" si="18"/>
        <v>0.18406806123103259</v>
      </c>
      <c r="L35" s="80">
        <v>457164461</v>
      </c>
      <c r="M35" s="59">
        <f t="shared" si="0"/>
        <v>0.6882932262109005</v>
      </c>
      <c r="N35" s="80">
        <v>270784988</v>
      </c>
      <c r="O35" s="59">
        <f t="shared" si="1"/>
        <v>0.41554457934225075</v>
      </c>
      <c r="P35" s="80">
        <v>191293861</v>
      </c>
      <c r="Q35" s="59">
        <f t="shared" si="2"/>
        <v>-0.34364878693602463</v>
      </c>
      <c r="R35" s="80">
        <v>291450457</v>
      </c>
      <c r="S35" s="59">
        <f t="shared" si="3"/>
        <v>0.10876626593607441</v>
      </c>
      <c r="T35" s="80">
        <v>262860141</v>
      </c>
      <c r="U35" s="59">
        <f t="shared" si="4"/>
        <v>-6.7453765398193144E-2</v>
      </c>
      <c r="V35" s="80">
        <v>281873575</v>
      </c>
      <c r="W35" s="59">
        <f t="shared" si="5"/>
        <v>-0.11649054359258637</v>
      </c>
      <c r="X35" s="80">
        <v>319038549</v>
      </c>
      <c r="Y35" s="59">
        <f t="shared" si="6"/>
        <v>0.85969563760074985</v>
      </c>
      <c r="Z35" s="80">
        <v>171554174</v>
      </c>
      <c r="AA35" s="59">
        <f t="shared" si="7"/>
        <v>1.6021520661881583</v>
      </c>
      <c r="AB35" s="80">
        <v>65927805</v>
      </c>
      <c r="AC35" s="59">
        <f t="shared" si="8"/>
        <v>0.60744447853574468</v>
      </c>
      <c r="AD35" s="80">
        <v>41014048</v>
      </c>
      <c r="AE35" s="59">
        <f t="shared" si="9"/>
        <v>-0.35681445536413747</v>
      </c>
      <c r="AF35" s="21">
        <v>63767055</v>
      </c>
      <c r="AG35" s="59">
        <f t="shared" si="19"/>
        <v>-0.19420921155043558</v>
      </c>
      <c r="AH35" s="80">
        <v>541313837</v>
      </c>
      <c r="AI35" s="59">
        <f t="shared" si="20"/>
        <v>0.85730996126041425</v>
      </c>
      <c r="AJ35" s="80">
        <v>291450457</v>
      </c>
      <c r="AK35" s="59">
        <f t="shared" si="10"/>
        <v>0.69888292546003572</v>
      </c>
      <c r="AL35" s="21">
        <v>171554174</v>
      </c>
      <c r="AM35" s="59">
        <f t="shared" si="11"/>
        <v>1.1678400096926818</v>
      </c>
      <c r="AN35" s="21">
        <v>79135994</v>
      </c>
      <c r="AO35" s="59">
        <f t="shared" si="12"/>
        <v>0</v>
      </c>
      <c r="AP35" s="21">
        <v>0</v>
      </c>
      <c r="AQ35" s="59">
        <f t="shared" si="13"/>
        <v>0</v>
      </c>
      <c r="AR35" s="21">
        <v>0</v>
      </c>
      <c r="AS35" s="59">
        <f t="shared" si="14"/>
        <v>0</v>
      </c>
      <c r="AT35" s="24">
        <v>0</v>
      </c>
    </row>
    <row r="36" spans="1:46" ht="16.95" hidden="1" customHeight="1" x14ac:dyDescent="0.4">
      <c r="A36" s="70">
        <v>35</v>
      </c>
      <c r="B36" s="26" t="s">
        <v>121</v>
      </c>
      <c r="C36" s="27" t="s">
        <v>122</v>
      </c>
      <c r="D36" s="81" t="s">
        <v>32</v>
      </c>
      <c r="E36" s="59">
        <f t="shared" si="21"/>
        <v>0</v>
      </c>
      <c r="F36" s="81" t="s">
        <v>32</v>
      </c>
      <c r="G36" s="59">
        <f t="shared" si="22"/>
        <v>0</v>
      </c>
      <c r="H36" s="81" t="s">
        <v>32</v>
      </c>
      <c r="I36" s="59">
        <f t="shared" si="23"/>
        <v>0</v>
      </c>
      <c r="J36" s="81" t="s">
        <v>32</v>
      </c>
      <c r="K36" s="59">
        <f t="shared" si="18"/>
        <v>0</v>
      </c>
      <c r="L36" s="80">
        <v>395011387</v>
      </c>
      <c r="M36" s="59">
        <f t="shared" si="0"/>
        <v>3.2969870915699362E-2</v>
      </c>
      <c r="N36" s="80">
        <v>382403590</v>
      </c>
      <c r="O36" s="59">
        <f t="shared" si="1"/>
        <v>1.7927326058962079E-2</v>
      </c>
      <c r="P36" s="80">
        <v>375668852</v>
      </c>
      <c r="Q36" s="59">
        <f t="shared" si="2"/>
        <v>9.0891416282843362E-3</v>
      </c>
      <c r="R36" s="80">
        <v>372285100</v>
      </c>
      <c r="S36" s="59">
        <f t="shared" si="3"/>
        <v>0</v>
      </c>
      <c r="T36" s="80">
        <v>0</v>
      </c>
      <c r="U36" s="59">
        <f t="shared" si="4"/>
        <v>0</v>
      </c>
      <c r="V36" s="80">
        <v>0</v>
      </c>
      <c r="W36" s="59">
        <f t="shared" si="5"/>
        <v>0</v>
      </c>
      <c r="X36" s="80">
        <v>0</v>
      </c>
      <c r="Y36" s="59">
        <f t="shared" si="6"/>
        <v>0</v>
      </c>
      <c r="Z36" s="80">
        <v>0</v>
      </c>
      <c r="AA36" s="59">
        <f t="shared" si="7"/>
        <v>0</v>
      </c>
      <c r="AB36" s="80">
        <v>0</v>
      </c>
      <c r="AC36" s="59">
        <f t="shared" si="8"/>
        <v>0</v>
      </c>
      <c r="AD36" s="80">
        <v>0</v>
      </c>
      <c r="AE36" s="59">
        <f t="shared" si="9"/>
        <v>0</v>
      </c>
      <c r="AF36" s="21">
        <v>0</v>
      </c>
      <c r="AG36" s="59" t="e">
        <f t="shared" si="19"/>
        <v>#DIV/0!</v>
      </c>
      <c r="AH36" s="80">
        <v>9827974</v>
      </c>
      <c r="AI36" s="59">
        <f t="shared" si="20"/>
        <v>-0.97360094730194424</v>
      </c>
      <c r="AJ36" s="80">
        <v>372285101</v>
      </c>
      <c r="AK36" s="59">
        <f t="shared" si="10"/>
        <v>0</v>
      </c>
      <c r="AL36" s="21">
        <v>0</v>
      </c>
      <c r="AM36" s="59">
        <f t="shared" si="11"/>
        <v>0</v>
      </c>
      <c r="AN36" s="21">
        <v>0</v>
      </c>
      <c r="AO36" s="59">
        <f t="shared" si="12"/>
        <v>0</v>
      </c>
      <c r="AP36" s="21">
        <v>0</v>
      </c>
      <c r="AQ36" s="59">
        <f t="shared" si="13"/>
        <v>0</v>
      </c>
      <c r="AR36" s="21">
        <v>0</v>
      </c>
      <c r="AS36" s="59">
        <f t="shared" si="14"/>
        <v>0</v>
      </c>
      <c r="AT36" s="24">
        <v>0</v>
      </c>
    </row>
    <row r="37" spans="1:46" s="70" customFormat="1" ht="16.95" customHeight="1" x14ac:dyDescent="0.4">
      <c r="A37" s="101">
        <v>36</v>
      </c>
      <c r="B37" s="65" t="s">
        <v>123</v>
      </c>
      <c r="C37" s="66" t="s">
        <v>257</v>
      </c>
      <c r="D37" s="78">
        <f>D44+D38</f>
        <v>271169361510</v>
      </c>
      <c r="E37" s="68">
        <f t="shared" si="21"/>
        <v>4.303729115920607E-2</v>
      </c>
      <c r="F37" s="78">
        <f>F44+F38</f>
        <v>259980504828</v>
      </c>
      <c r="G37" s="68">
        <f t="shared" si="22"/>
        <v>7.9174160211224143E-2</v>
      </c>
      <c r="H37" s="78">
        <f>H44+H38</f>
        <v>240906903087</v>
      </c>
      <c r="I37" s="68">
        <f t="shared" si="23"/>
        <v>4.9457003543559974E-2</v>
      </c>
      <c r="J37" s="78">
        <f>J44+J38</f>
        <v>229553857160</v>
      </c>
      <c r="K37" s="68">
        <f t="shared" si="18"/>
        <v>0.13783550870835004</v>
      </c>
      <c r="L37" s="78">
        <f>L44+L38</f>
        <v>201746083158</v>
      </c>
      <c r="M37" s="68">
        <f t="shared" si="0"/>
        <v>8.3226542079234633E-2</v>
      </c>
      <c r="N37" s="78">
        <f>N44+N38</f>
        <v>186245513123</v>
      </c>
      <c r="O37" s="68">
        <f t="shared" si="1"/>
        <v>8.020749338712907E-2</v>
      </c>
      <c r="P37" s="78">
        <f>P44+P38</f>
        <v>172416423940</v>
      </c>
      <c r="Q37" s="68">
        <f t="shared" si="2"/>
        <v>5.2960534391291114E-2</v>
      </c>
      <c r="R37" s="78">
        <f>R44+R38</f>
        <v>163744431352</v>
      </c>
      <c r="S37" s="68">
        <f t="shared" si="3"/>
        <v>6.2906164323073055E-2</v>
      </c>
      <c r="T37" s="78">
        <f>T44+T38</f>
        <v>154053515586</v>
      </c>
      <c r="U37" s="68">
        <f t="shared" si="4"/>
        <v>8.8669881383662164E-2</v>
      </c>
      <c r="V37" s="78">
        <f>V44+V38</f>
        <v>141506179440</v>
      </c>
      <c r="W37" s="68">
        <f t="shared" si="5"/>
        <v>9.3015797850201309E-2</v>
      </c>
      <c r="X37" s="78">
        <f>X44+X38</f>
        <v>129463983703</v>
      </c>
      <c r="Y37" s="68">
        <f t="shared" si="6"/>
        <v>4.6115448889556543E-2</v>
      </c>
      <c r="Z37" s="78">
        <f>Z44+Z38</f>
        <v>123756879645</v>
      </c>
      <c r="AA37" s="68">
        <f t="shared" si="7"/>
        <v>0.11930003358364627</v>
      </c>
      <c r="AB37" s="78">
        <f>AB44+AB38</f>
        <v>110566314600</v>
      </c>
      <c r="AC37" s="68">
        <f t="shared" si="8"/>
        <v>8.691367999554922E-2</v>
      </c>
      <c r="AD37" s="78">
        <f>AD44+AD38</f>
        <v>101725018863</v>
      </c>
      <c r="AE37" s="68">
        <f t="shared" si="9"/>
        <v>4.8672143528108336E-2</v>
      </c>
      <c r="AF37" s="67">
        <f>AF44+AF38</f>
        <v>97003643599</v>
      </c>
      <c r="AG37" s="68">
        <f t="shared" si="19"/>
        <v>0.10336012256935634</v>
      </c>
      <c r="AH37" s="78">
        <f>AH44+AH38</f>
        <v>227074860969</v>
      </c>
      <c r="AI37" s="68">
        <f t="shared" si="20"/>
        <v>0.39457569205714926</v>
      </c>
      <c r="AJ37" s="78">
        <f>AJ44+AJ38</f>
        <v>162827204190</v>
      </c>
      <c r="AK37" s="68">
        <f t="shared" si="10"/>
        <v>0.31570224343951048</v>
      </c>
      <c r="AL37" s="67">
        <v>123756879645</v>
      </c>
      <c r="AM37" s="68">
        <f t="shared" si="11"/>
        <v>0.40766264882153291</v>
      </c>
      <c r="AN37" s="67">
        <f>AN44+AN38</f>
        <v>87916575572</v>
      </c>
      <c r="AO37" s="68">
        <f t="shared" si="12"/>
        <v>0.72240138791176345</v>
      </c>
      <c r="AP37" s="67">
        <f>AP44+AP38</f>
        <v>51043024111</v>
      </c>
      <c r="AQ37" s="68">
        <f t="shared" si="13"/>
        <v>0.4545504009802559</v>
      </c>
      <c r="AR37" s="67">
        <f>AR44+AR38</f>
        <v>35091959740</v>
      </c>
      <c r="AS37" s="68">
        <f t="shared" si="14"/>
        <v>1.1492066071360139</v>
      </c>
      <c r="AT37" s="69">
        <f>AT44+AT38</f>
        <v>16327867048</v>
      </c>
    </row>
    <row r="38" spans="1:46" s="101" customFormat="1" ht="16.95" customHeight="1" x14ac:dyDescent="0.4">
      <c r="A38" s="70">
        <v>37</v>
      </c>
      <c r="B38" s="76" t="s">
        <v>124</v>
      </c>
      <c r="C38" s="77" t="s">
        <v>259</v>
      </c>
      <c r="D38" s="97">
        <f>SUM(D39:D43)</f>
        <v>271169361510</v>
      </c>
      <c r="E38" s="98">
        <f t="shared" si="21"/>
        <v>4.303729115920607E-2</v>
      </c>
      <c r="F38" s="97">
        <f>SUM(F39:F43)</f>
        <v>259980504828</v>
      </c>
      <c r="G38" s="98">
        <f t="shared" si="22"/>
        <v>7.9174160211224143E-2</v>
      </c>
      <c r="H38" s="97">
        <f>SUM(H39:H43)</f>
        <v>240906903087</v>
      </c>
      <c r="I38" s="98">
        <f t="shared" si="23"/>
        <v>4.9457003543559974E-2</v>
      </c>
      <c r="J38" s="97">
        <f>SUM(J39:J43)</f>
        <v>229553857160</v>
      </c>
      <c r="K38" s="98">
        <f t="shared" si="18"/>
        <v>0.13783550870835004</v>
      </c>
      <c r="L38" s="97">
        <f>SUM(L39:L43)</f>
        <v>201746083158</v>
      </c>
      <c r="M38" s="98">
        <f t="shared" si="0"/>
        <v>8.3226542079234633E-2</v>
      </c>
      <c r="N38" s="97">
        <f>SUM(N39:N43)</f>
        <v>186245513123</v>
      </c>
      <c r="O38" s="98">
        <f t="shared" si="1"/>
        <v>8.020749338712907E-2</v>
      </c>
      <c r="P38" s="97">
        <f>SUM(P39:P43)</f>
        <v>172416423940</v>
      </c>
      <c r="Q38" s="98">
        <f t="shared" si="2"/>
        <v>5.2960534391291114E-2</v>
      </c>
      <c r="R38" s="97">
        <f>SUM(R39:R43)</f>
        <v>163744431352</v>
      </c>
      <c r="S38" s="98">
        <f t="shared" si="3"/>
        <v>6.2906164323073055E-2</v>
      </c>
      <c r="T38" s="97">
        <f>SUM(T39:T43)</f>
        <v>154053515586</v>
      </c>
      <c r="U38" s="98">
        <f t="shared" si="4"/>
        <v>8.8669881383662164E-2</v>
      </c>
      <c r="V38" s="97">
        <f>SUM(V39:V43)</f>
        <v>141506179440</v>
      </c>
      <c r="W38" s="98">
        <f t="shared" si="5"/>
        <v>9.3015797850201309E-2</v>
      </c>
      <c r="X38" s="97">
        <f>SUM(X39:X43)</f>
        <v>129463983703</v>
      </c>
      <c r="Y38" s="98">
        <f t="shared" si="6"/>
        <v>4.6115448889556543E-2</v>
      </c>
      <c r="Z38" s="97">
        <f>SUM(Z39:Z43)</f>
        <v>123756879645</v>
      </c>
      <c r="AA38" s="98">
        <f t="shared" si="7"/>
        <v>0.11930003358364627</v>
      </c>
      <c r="AB38" s="97">
        <f>SUM(AB39:AB43)</f>
        <v>110566314600</v>
      </c>
      <c r="AC38" s="98">
        <f t="shared" si="8"/>
        <v>8.691367999554922E-2</v>
      </c>
      <c r="AD38" s="97">
        <v>101725018863</v>
      </c>
      <c r="AE38" s="98">
        <f t="shared" si="9"/>
        <v>4.8672143528108336E-2</v>
      </c>
      <c r="AF38" s="99">
        <v>97003643599</v>
      </c>
      <c r="AG38" s="98">
        <f t="shared" si="19"/>
        <v>0.10336012256935634</v>
      </c>
      <c r="AH38" s="97">
        <f>SUM(AH39:AH43)</f>
        <v>227074860969</v>
      </c>
      <c r="AI38" s="98">
        <f t="shared" si="20"/>
        <v>0.39457569205714926</v>
      </c>
      <c r="AJ38" s="97">
        <f>SUM(AJ39:AJ43)</f>
        <v>162827204190</v>
      </c>
      <c r="AK38" s="98">
        <f t="shared" si="10"/>
        <v>0.31570224343951048</v>
      </c>
      <c r="AL38" s="99">
        <v>123756879645</v>
      </c>
      <c r="AM38" s="98">
        <f t="shared" si="11"/>
        <v>0.40766264882153291</v>
      </c>
      <c r="AN38" s="99">
        <v>87916575572</v>
      </c>
      <c r="AO38" s="98">
        <f t="shared" si="12"/>
        <v>0.72240138791176345</v>
      </c>
      <c r="AP38" s="99">
        <v>51043024111</v>
      </c>
      <c r="AQ38" s="98">
        <f t="shared" si="13"/>
        <v>0.4545504009802559</v>
      </c>
      <c r="AR38" s="99">
        <v>35091959740</v>
      </c>
      <c r="AS38" s="98">
        <f t="shared" si="14"/>
        <v>1.1492066071360139</v>
      </c>
      <c r="AT38" s="100">
        <v>16327867048</v>
      </c>
    </row>
    <row r="39" spans="1:46" ht="16.95" customHeight="1" x14ac:dyDescent="0.4">
      <c r="A39" s="101">
        <v>38</v>
      </c>
      <c r="B39" s="26" t="s">
        <v>125</v>
      </c>
      <c r="C39" s="27" t="s">
        <v>126</v>
      </c>
      <c r="D39" s="80">
        <v>6477670200</v>
      </c>
      <c r="E39" s="59">
        <f t="shared" si="21"/>
        <v>0</v>
      </c>
      <c r="F39" s="80">
        <v>6477670200</v>
      </c>
      <c r="G39" s="59">
        <f t="shared" si="22"/>
        <v>0</v>
      </c>
      <c r="H39" s="80">
        <v>6477670200</v>
      </c>
      <c r="I39" s="59">
        <f t="shared" si="23"/>
        <v>0</v>
      </c>
      <c r="J39" s="80">
        <v>6477670200</v>
      </c>
      <c r="K39" s="59">
        <f t="shared" si="18"/>
        <v>0</v>
      </c>
      <c r="L39" s="80">
        <v>6477670200</v>
      </c>
      <c r="M39" s="59">
        <f t="shared" si="0"/>
        <v>0</v>
      </c>
      <c r="N39" s="80">
        <v>6477670200</v>
      </c>
      <c r="O39" s="59">
        <f t="shared" si="1"/>
        <v>0</v>
      </c>
      <c r="P39" s="80">
        <v>6477670200</v>
      </c>
      <c r="Q39" s="59">
        <f t="shared" si="2"/>
        <v>9.246121690940079E-4</v>
      </c>
      <c r="R39" s="80">
        <v>6471686400</v>
      </c>
      <c r="S39" s="59">
        <f t="shared" si="3"/>
        <v>0</v>
      </c>
      <c r="T39" s="80">
        <v>6471686400</v>
      </c>
      <c r="U39" s="59">
        <f t="shared" si="4"/>
        <v>0</v>
      </c>
      <c r="V39" s="80">
        <v>6471686400</v>
      </c>
      <c r="W39" s="59">
        <f t="shared" si="5"/>
        <v>0</v>
      </c>
      <c r="X39" s="80">
        <v>6471686400</v>
      </c>
      <c r="Y39" s="59">
        <f t="shared" si="6"/>
        <v>1.18932142660233E-4</v>
      </c>
      <c r="Z39" s="80">
        <v>6470916800</v>
      </c>
      <c r="AA39" s="59">
        <f t="shared" si="7"/>
        <v>0</v>
      </c>
      <c r="AB39" s="80">
        <v>6470916800</v>
      </c>
      <c r="AC39" s="59">
        <f t="shared" si="8"/>
        <v>0</v>
      </c>
      <c r="AD39" s="80">
        <v>6470916800</v>
      </c>
      <c r="AE39" s="59">
        <f t="shared" si="9"/>
        <v>0</v>
      </c>
      <c r="AF39" s="21">
        <v>6470916800</v>
      </c>
      <c r="AG39" s="59">
        <f t="shared" si="19"/>
        <v>5.3568138153432532E-3</v>
      </c>
      <c r="AH39" s="80">
        <v>6477670200</v>
      </c>
      <c r="AI39" s="59">
        <f t="shared" si="20"/>
        <v>9.246121690940079E-4</v>
      </c>
      <c r="AJ39" s="80">
        <v>6471686400</v>
      </c>
      <c r="AK39" s="59">
        <f t="shared" si="10"/>
        <v>1.18932142660233E-4</v>
      </c>
      <c r="AL39" s="21">
        <v>6470916800</v>
      </c>
      <c r="AM39" s="59">
        <f t="shared" si="11"/>
        <v>5.3568138153432532E-3</v>
      </c>
      <c r="AN39" s="21">
        <v>6436438000</v>
      </c>
      <c r="AO39" s="59">
        <f t="shared" si="12"/>
        <v>3.8586158954153627E-2</v>
      </c>
      <c r="AP39" s="21">
        <v>6197307700</v>
      </c>
      <c r="AQ39" s="59">
        <f t="shared" si="13"/>
        <v>2.4804426604586371E-2</v>
      </c>
      <c r="AR39" s="21">
        <v>6047307700</v>
      </c>
      <c r="AS39" s="59">
        <f t="shared" si="14"/>
        <v>0.10004897488274134</v>
      </c>
      <c r="AT39" s="24">
        <v>5497307700</v>
      </c>
    </row>
    <row r="40" spans="1:46" ht="16.95" customHeight="1" x14ac:dyDescent="0.4">
      <c r="A40" s="70">
        <v>39</v>
      </c>
      <c r="B40" s="29" t="s">
        <v>127</v>
      </c>
      <c r="C40" s="30" t="s">
        <v>128</v>
      </c>
      <c r="D40" s="81">
        <v>24229755029</v>
      </c>
      <c r="E40" s="59">
        <f t="shared" si="21"/>
        <v>0</v>
      </c>
      <c r="F40" s="81">
        <v>24229755029</v>
      </c>
      <c r="G40" s="59">
        <f t="shared" si="22"/>
        <v>0</v>
      </c>
      <c r="H40" s="81">
        <v>24229755029</v>
      </c>
      <c r="I40" s="59">
        <f t="shared" si="23"/>
        <v>0</v>
      </c>
      <c r="J40" s="81">
        <v>24229755029</v>
      </c>
      <c r="K40" s="59">
        <f t="shared" si="18"/>
        <v>0</v>
      </c>
      <c r="L40" s="81">
        <v>24229755029</v>
      </c>
      <c r="M40" s="59">
        <f t="shared" si="0"/>
        <v>0</v>
      </c>
      <c r="N40" s="81">
        <v>24229755029</v>
      </c>
      <c r="O40" s="59">
        <f t="shared" si="1"/>
        <v>0</v>
      </c>
      <c r="P40" s="81">
        <v>24229755029</v>
      </c>
      <c r="Q40" s="59">
        <f t="shared" si="2"/>
        <v>4.4627397933525437E-3</v>
      </c>
      <c r="R40" s="81">
        <v>24122104354</v>
      </c>
      <c r="S40" s="59">
        <f t="shared" si="3"/>
        <v>0</v>
      </c>
      <c r="T40" s="81">
        <v>24122104354</v>
      </c>
      <c r="U40" s="59">
        <f t="shared" si="4"/>
        <v>0</v>
      </c>
      <c r="V40" s="81">
        <v>24122104354</v>
      </c>
      <c r="W40" s="59">
        <f t="shared" si="5"/>
        <v>0</v>
      </c>
      <c r="X40" s="81">
        <v>24122104354</v>
      </c>
      <c r="Y40" s="59">
        <f t="shared" si="6"/>
        <v>5.7430011900216904E-4</v>
      </c>
      <c r="Z40" s="81">
        <v>24108258978</v>
      </c>
      <c r="AA40" s="59">
        <f t="shared" si="7"/>
        <v>0</v>
      </c>
      <c r="AB40" s="81">
        <v>24108258978</v>
      </c>
      <c r="AC40" s="59">
        <f t="shared" si="8"/>
        <v>0</v>
      </c>
      <c r="AD40" s="81">
        <v>24108258978</v>
      </c>
      <c r="AE40" s="59">
        <f t="shared" si="9"/>
        <v>0</v>
      </c>
      <c r="AF40" s="21">
        <v>24108258978</v>
      </c>
      <c r="AG40" s="59">
        <f t="shared" si="19"/>
        <v>2.6408655314034801E-2</v>
      </c>
      <c r="AH40" s="81">
        <v>24229755029</v>
      </c>
      <c r="AI40" s="59">
        <f t="shared" si="20"/>
        <v>4.4627397933525437E-3</v>
      </c>
      <c r="AJ40" s="81">
        <v>24122104354</v>
      </c>
      <c r="AK40" s="59">
        <f t="shared" si="10"/>
        <v>5.7430011900216904E-4</v>
      </c>
      <c r="AL40" s="21">
        <v>24108258978</v>
      </c>
      <c r="AM40" s="59">
        <f t="shared" si="11"/>
        <v>2.6408655314034801E-2</v>
      </c>
      <c r="AN40" s="21">
        <v>23487973190</v>
      </c>
      <c r="AO40" s="59">
        <f t="shared" si="12"/>
        <v>0.22422877088747484</v>
      </c>
      <c r="AP40" s="21">
        <v>19185934646</v>
      </c>
      <c r="AQ40" s="59">
        <f t="shared" si="13"/>
        <v>7.434344955248906E-2</v>
      </c>
      <c r="AR40" s="21">
        <v>17858287919</v>
      </c>
      <c r="AS40" s="59">
        <f t="shared" si="14"/>
        <v>0</v>
      </c>
      <c r="AT40" s="24">
        <v>0</v>
      </c>
    </row>
    <row r="41" spans="1:46" ht="16.95" customHeight="1" x14ac:dyDescent="0.4">
      <c r="A41" s="101">
        <v>40</v>
      </c>
      <c r="B41" s="26" t="s">
        <v>129</v>
      </c>
      <c r="C41" s="27" t="s">
        <v>130</v>
      </c>
      <c r="D41" s="80">
        <v>-14908716833</v>
      </c>
      <c r="E41" s="59">
        <f t="shared" si="21"/>
        <v>2.0495613177441183</v>
      </c>
      <c r="F41" s="80">
        <v>-4888807038</v>
      </c>
      <c r="G41" s="59">
        <f t="shared" si="22"/>
        <v>-9.6487250445951411E-2</v>
      </c>
      <c r="H41" s="80">
        <v>-5410888823</v>
      </c>
      <c r="I41" s="59">
        <f t="shared" si="23"/>
        <v>-2.0448775124626284E-3</v>
      </c>
      <c r="J41" s="80">
        <v>-5421976100</v>
      </c>
      <c r="K41" s="59">
        <f t="shared" si="18"/>
        <v>0.66566714932928495</v>
      </c>
      <c r="L41" s="80">
        <v>-3255137800</v>
      </c>
      <c r="M41" s="59">
        <f t="shared" si="0"/>
        <v>0</v>
      </c>
      <c r="N41" s="80">
        <v>0</v>
      </c>
      <c r="O41" s="59">
        <f t="shared" si="1"/>
        <v>0</v>
      </c>
      <c r="P41" s="80">
        <v>0</v>
      </c>
      <c r="Q41" s="59">
        <f t="shared" si="2"/>
        <v>-1</v>
      </c>
      <c r="R41" s="80">
        <v>4789153</v>
      </c>
      <c r="S41" s="59">
        <f t="shared" si="3"/>
        <v>0</v>
      </c>
      <c r="T41" s="80">
        <v>4789153</v>
      </c>
      <c r="U41" s="59">
        <f t="shared" si="4"/>
        <v>0</v>
      </c>
      <c r="V41" s="80">
        <v>4789153</v>
      </c>
      <c r="W41" s="59">
        <f t="shared" si="5"/>
        <v>0</v>
      </c>
      <c r="X41" s="80">
        <v>4789153</v>
      </c>
      <c r="Y41" s="59">
        <f t="shared" si="6"/>
        <v>-0.1139574531854608</v>
      </c>
      <c r="Z41" s="80">
        <v>5405105</v>
      </c>
      <c r="AA41" s="59">
        <f t="shared" si="7"/>
        <v>0</v>
      </c>
      <c r="AB41" s="80">
        <v>5405105</v>
      </c>
      <c r="AC41" s="59">
        <f t="shared" si="8"/>
        <v>0</v>
      </c>
      <c r="AD41" s="80">
        <v>5405105</v>
      </c>
      <c r="AE41" s="59">
        <f t="shared" si="9"/>
        <v>0</v>
      </c>
      <c r="AF41" s="21">
        <v>5405105</v>
      </c>
      <c r="AG41" s="59">
        <f t="shared" si="19"/>
        <v>-0.83621053261875844</v>
      </c>
      <c r="AH41" s="80">
        <v>-5421976100</v>
      </c>
      <c r="AI41" s="59">
        <f t="shared" si="20"/>
        <v>-1133.1367473538639</v>
      </c>
      <c r="AJ41" s="80">
        <v>4789153</v>
      </c>
      <c r="AK41" s="59">
        <f t="shared" si="10"/>
        <v>-0.1139574531854608</v>
      </c>
      <c r="AL41" s="21">
        <v>5405105</v>
      </c>
      <c r="AM41" s="59">
        <f t="shared" si="11"/>
        <v>-0.83621053261875844</v>
      </c>
      <c r="AN41" s="21">
        <v>33000321</v>
      </c>
      <c r="AO41" s="59">
        <f t="shared" si="12"/>
        <v>-0.84556832649915092</v>
      </c>
      <c r="AP41" s="21">
        <v>213688813</v>
      </c>
      <c r="AQ41" s="59">
        <f t="shared" si="13"/>
        <v>0.95479413064885033</v>
      </c>
      <c r="AR41" s="21">
        <v>109315252</v>
      </c>
      <c r="AS41" s="59">
        <f t="shared" si="14"/>
        <v>-1.0202832561971187</v>
      </c>
      <c r="AT41" s="24">
        <v>-5389433084</v>
      </c>
    </row>
    <row r="42" spans="1:46" ht="16.95" customHeight="1" x14ac:dyDescent="0.4">
      <c r="A42" s="70">
        <v>41</v>
      </c>
      <c r="B42" s="29" t="s">
        <v>131</v>
      </c>
      <c r="C42" s="30" t="s">
        <v>258</v>
      </c>
      <c r="D42" s="81">
        <v>84654873</v>
      </c>
      <c r="E42" s="59">
        <f t="shared" si="21"/>
        <v>0.22138328432715815</v>
      </c>
      <c r="F42" s="81">
        <v>69310653</v>
      </c>
      <c r="G42" s="59">
        <f t="shared" si="22"/>
        <v>-9.17616375707061E-2</v>
      </c>
      <c r="H42" s="81">
        <v>76313285</v>
      </c>
      <c r="I42" s="59">
        <f t="shared" si="23"/>
        <v>1.0039444573888918</v>
      </c>
      <c r="J42" s="81">
        <v>38081537</v>
      </c>
      <c r="K42" s="59">
        <f t="shared" si="18"/>
        <v>-0.62422456025983031</v>
      </c>
      <c r="L42" s="81">
        <v>101341208</v>
      </c>
      <c r="M42" s="59">
        <f t="shared" si="0"/>
        <v>0.63848189655106902</v>
      </c>
      <c r="N42" s="81">
        <v>61850673</v>
      </c>
      <c r="O42" s="59">
        <f t="shared" si="1"/>
        <v>0.51758771788525504</v>
      </c>
      <c r="P42" s="81">
        <v>40755913</v>
      </c>
      <c r="Q42" s="59">
        <f t="shared" si="2"/>
        <v>0.78291268166939543</v>
      </c>
      <c r="R42" s="81">
        <v>22859175</v>
      </c>
      <c r="S42" s="59">
        <f t="shared" si="3"/>
        <v>0.94945784183646587</v>
      </c>
      <c r="T42" s="81">
        <v>11725914</v>
      </c>
      <c r="U42" s="59">
        <f t="shared" si="4"/>
        <v>-1.9663526176184036</v>
      </c>
      <c r="V42" s="81">
        <v>-12134198</v>
      </c>
      <c r="W42" s="59">
        <f t="shared" si="5"/>
        <v>-0.19991626093882697</v>
      </c>
      <c r="X42" s="81">
        <v>-15166160</v>
      </c>
      <c r="Y42" s="59">
        <f t="shared" si="6"/>
        <v>-0.46910593916674947</v>
      </c>
      <c r="Z42" s="81">
        <v>-28567206</v>
      </c>
      <c r="AA42" s="59">
        <f t="shared" si="7"/>
        <v>4.6510390363373411</v>
      </c>
      <c r="AB42" s="81">
        <v>-5055213</v>
      </c>
      <c r="AC42" s="59">
        <f t="shared" si="8"/>
        <v>-0.73985959596931616</v>
      </c>
      <c r="AD42" s="81">
        <v>-19432633</v>
      </c>
      <c r="AE42" s="59">
        <f t="shared" si="9"/>
        <v>-6.8682522478828334E-2</v>
      </c>
      <c r="AF42" s="21">
        <v>-20865745</v>
      </c>
      <c r="AG42" s="59">
        <f t="shared" si="19"/>
        <v>-0.44564917756031863</v>
      </c>
      <c r="AH42" s="81">
        <v>38081537</v>
      </c>
      <c r="AI42" s="59">
        <f t="shared" si="20"/>
        <v>1.5393403156149925</v>
      </c>
      <c r="AJ42" s="81">
        <v>14996626</v>
      </c>
      <c r="AK42" s="59">
        <f t="shared" si="10"/>
        <v>-1.5249594937635833</v>
      </c>
      <c r="AL42" s="21">
        <v>-28567206</v>
      </c>
      <c r="AM42" s="59">
        <f t="shared" si="11"/>
        <v>-0.24104055997503082</v>
      </c>
      <c r="AN42" s="21">
        <v>-37639964</v>
      </c>
      <c r="AO42" s="59">
        <f t="shared" si="12"/>
        <v>0.54285321955121546</v>
      </c>
      <c r="AP42" s="21">
        <v>-24396335</v>
      </c>
      <c r="AQ42" s="59">
        <f t="shared" si="13"/>
        <v>0.65739180412120746</v>
      </c>
      <c r="AR42" s="21">
        <v>-14719715</v>
      </c>
      <c r="AS42" s="59">
        <f t="shared" si="14"/>
        <v>0</v>
      </c>
      <c r="AT42" s="24">
        <v>0</v>
      </c>
    </row>
    <row r="43" spans="1:46" ht="16.95" customHeight="1" x14ac:dyDescent="0.4">
      <c r="A43" s="101">
        <v>42</v>
      </c>
      <c r="B43" s="26" t="s">
        <v>132</v>
      </c>
      <c r="C43" s="27" t="s">
        <v>133</v>
      </c>
      <c r="D43" s="80">
        <v>255285998241</v>
      </c>
      <c r="E43" s="59">
        <f t="shared" si="21"/>
        <v>9.0534363031011145E-2</v>
      </c>
      <c r="F43" s="80">
        <v>234092575984</v>
      </c>
      <c r="G43" s="59">
        <f t="shared" si="22"/>
        <v>8.6104827963785713E-2</v>
      </c>
      <c r="H43" s="80">
        <v>215534053396</v>
      </c>
      <c r="I43" s="59">
        <f t="shared" si="23"/>
        <v>5.5347935324052244E-2</v>
      </c>
      <c r="J43" s="80">
        <v>204230326494</v>
      </c>
      <c r="K43" s="59">
        <f t="shared" si="18"/>
        <v>0.1724407182595773</v>
      </c>
      <c r="L43" s="80">
        <v>174192454521</v>
      </c>
      <c r="M43" s="59">
        <f t="shared" si="0"/>
        <v>0.12037992193878511</v>
      </c>
      <c r="N43" s="80">
        <v>155476237221</v>
      </c>
      <c r="O43" s="59">
        <f t="shared" si="1"/>
        <v>9.7467111543751983E-2</v>
      </c>
      <c r="P43" s="80">
        <v>141668242798</v>
      </c>
      <c r="Q43" s="59">
        <f t="shared" si="2"/>
        <v>6.4190643421449867E-2</v>
      </c>
      <c r="R43" s="80">
        <v>133122992270</v>
      </c>
      <c r="S43" s="59">
        <f t="shared" si="3"/>
        <v>7.8414863996387529E-2</v>
      </c>
      <c r="T43" s="80">
        <v>123443209765</v>
      </c>
      <c r="U43" s="59">
        <f t="shared" si="4"/>
        <v>0.1129057527704822</v>
      </c>
      <c r="V43" s="80">
        <v>110919733731</v>
      </c>
      <c r="W43" s="59">
        <f t="shared" si="5"/>
        <v>0.12175459526939614</v>
      </c>
      <c r="X43" s="80">
        <v>98880569956</v>
      </c>
      <c r="Y43" s="59">
        <f t="shared" si="6"/>
        <v>6.0940463685714041E-2</v>
      </c>
      <c r="Z43" s="80">
        <v>93200865968</v>
      </c>
      <c r="AA43" s="59">
        <f t="shared" si="7"/>
        <v>0.16520324437031997</v>
      </c>
      <c r="AB43" s="80">
        <v>79986788930</v>
      </c>
      <c r="AC43" s="59">
        <f t="shared" si="8"/>
        <v>0.12404348463482773</v>
      </c>
      <c r="AD43" s="80">
        <v>71159870613</v>
      </c>
      <c r="AE43" s="59">
        <f t="shared" si="9"/>
        <v>7.1040747052739439E-2</v>
      </c>
      <c r="AF43" s="21">
        <v>66439928461</v>
      </c>
      <c r="AG43" s="59">
        <f t="shared" si="19"/>
        <v>0.14557913281498269</v>
      </c>
      <c r="AH43" s="80">
        <v>201751330303</v>
      </c>
      <c r="AI43" s="59">
        <f t="shared" si="20"/>
        <v>0.52594958536650016</v>
      </c>
      <c r="AJ43" s="80">
        <v>132213627657</v>
      </c>
      <c r="AK43" s="59">
        <f t="shared" si="10"/>
        <v>0.41858797430481842</v>
      </c>
      <c r="AL43" s="21">
        <v>93200865968</v>
      </c>
      <c r="AM43" s="59">
        <f t="shared" si="11"/>
        <v>0.60700003275740855</v>
      </c>
      <c r="AN43" s="21">
        <v>57996804025</v>
      </c>
      <c r="AO43" s="59">
        <f t="shared" si="12"/>
        <v>1.2770196273615073</v>
      </c>
      <c r="AP43" s="21">
        <v>25470489287</v>
      </c>
      <c r="AQ43" s="59">
        <f t="shared" si="13"/>
        <v>1.2963415702470988</v>
      </c>
      <c r="AR43" s="21">
        <v>11091768584</v>
      </c>
      <c r="AS43" s="59">
        <f t="shared" si="14"/>
        <v>-0.31616684591557886</v>
      </c>
      <c r="AT43" s="24">
        <v>16219992432</v>
      </c>
    </row>
    <row r="44" spans="1:46" s="1" customFormat="1" ht="16.95" hidden="1" customHeight="1" x14ac:dyDescent="0.4">
      <c r="A44" s="70">
        <v>43</v>
      </c>
      <c r="B44" s="76" t="s">
        <v>134</v>
      </c>
      <c r="C44" s="77" t="s">
        <v>135</v>
      </c>
      <c r="D44" s="79"/>
      <c r="E44" s="63">
        <f t="shared" si="21"/>
        <v>0</v>
      </c>
      <c r="F44" s="79"/>
      <c r="G44" s="63">
        <f t="shared" si="22"/>
        <v>0</v>
      </c>
      <c r="H44" s="79"/>
      <c r="I44" s="63">
        <f t="shared" si="23"/>
        <v>0</v>
      </c>
      <c r="J44" s="79"/>
      <c r="K44" s="63">
        <f t="shared" si="18"/>
        <v>0</v>
      </c>
      <c r="L44" s="79"/>
      <c r="M44" s="63">
        <f t="shared" si="0"/>
        <v>0</v>
      </c>
      <c r="N44" s="79"/>
      <c r="O44" s="63">
        <f t="shared" si="1"/>
        <v>0</v>
      </c>
      <c r="P44" s="79"/>
      <c r="Q44" s="63">
        <f t="shared" si="2"/>
        <v>0</v>
      </c>
      <c r="R44" s="79"/>
      <c r="S44" s="63">
        <f t="shared" si="3"/>
        <v>0</v>
      </c>
      <c r="T44" s="79"/>
      <c r="U44" s="63">
        <f t="shared" si="4"/>
        <v>0</v>
      </c>
      <c r="V44" s="79"/>
      <c r="W44" s="63">
        <f t="shared" si="5"/>
        <v>0</v>
      </c>
      <c r="X44" s="79"/>
      <c r="Y44" s="63">
        <f t="shared" si="6"/>
        <v>0</v>
      </c>
      <c r="Z44" s="79"/>
      <c r="AA44" s="63">
        <f t="shared" si="7"/>
        <v>0</v>
      </c>
      <c r="AB44" s="79"/>
      <c r="AC44" s="63">
        <f t="shared" si="8"/>
        <v>0</v>
      </c>
      <c r="AD44" s="79"/>
      <c r="AE44" s="63">
        <f t="shared" si="9"/>
        <v>0</v>
      </c>
      <c r="AF44" s="62"/>
      <c r="AG44" s="63" t="e">
        <f t="shared" si="19"/>
        <v>#DIV/0!</v>
      </c>
      <c r="AH44" s="79"/>
      <c r="AI44" s="63">
        <f t="shared" si="20"/>
        <v>0</v>
      </c>
      <c r="AJ44" s="79"/>
      <c r="AK44" s="63">
        <f t="shared" si="10"/>
        <v>0</v>
      </c>
      <c r="AL44" s="62"/>
      <c r="AM44" s="63">
        <f t="shared" si="11"/>
        <v>0</v>
      </c>
      <c r="AN44" s="62"/>
      <c r="AO44" s="63">
        <f t="shared" si="12"/>
        <v>0</v>
      </c>
      <c r="AP44" s="62"/>
      <c r="AQ44" s="63">
        <f t="shared" si="13"/>
        <v>0</v>
      </c>
      <c r="AR44" s="62"/>
      <c r="AS44" s="63">
        <f t="shared" si="14"/>
        <v>0</v>
      </c>
      <c r="AT44" s="64"/>
    </row>
    <row r="45" spans="1:46" s="70" customFormat="1" ht="16.95" customHeight="1" x14ac:dyDescent="0.4">
      <c r="A45" s="101">
        <v>43</v>
      </c>
      <c r="B45" s="71" t="s">
        <v>136</v>
      </c>
      <c r="C45" s="72" t="s">
        <v>137</v>
      </c>
      <c r="D45" s="82">
        <f>D21+D37</f>
        <v>363110049245</v>
      </c>
      <c r="E45" s="74">
        <f t="shared" si="21"/>
        <v>9.9385654594128514E-3</v>
      </c>
      <c r="F45" s="82">
        <f>F21+F37</f>
        <v>359536769526</v>
      </c>
      <c r="G45" s="74">
        <f t="shared" si="22"/>
        <v>2.0314852417883555E-2</v>
      </c>
      <c r="H45" s="82">
        <f>H21+H37</f>
        <v>352378257235</v>
      </c>
      <c r="I45" s="74">
        <f t="shared" si="23"/>
        <v>6.3266282906496274E-2</v>
      </c>
      <c r="J45" s="82">
        <f>J21+J37</f>
        <v>331411108299</v>
      </c>
      <c r="K45" s="74">
        <f t="shared" si="18"/>
        <v>-8.6242940200053075E-3</v>
      </c>
      <c r="L45" s="82">
        <f>L21+L37</f>
        <v>334294159419</v>
      </c>
      <c r="M45" s="74">
        <f t="shared" si="0"/>
        <v>7.0829102296592561E-2</v>
      </c>
      <c r="N45" s="82">
        <f>N21+N37</f>
        <v>312182549673</v>
      </c>
      <c r="O45" s="74">
        <f t="shared" si="1"/>
        <v>2.6660242251268729E-2</v>
      </c>
      <c r="P45" s="82">
        <f>P21+P37</f>
        <v>304075814788</v>
      </c>
      <c r="Q45" s="74">
        <f t="shared" si="2"/>
        <v>0.40529130013127701</v>
      </c>
      <c r="R45" s="82">
        <f>R21+R37</f>
        <v>216379205336</v>
      </c>
      <c r="S45" s="74">
        <f t="shared" si="3"/>
        <v>0.24602533712961816</v>
      </c>
      <c r="T45" s="82">
        <f>T21+T37</f>
        <v>173655542057</v>
      </c>
      <c r="U45" s="74">
        <f t="shared" si="4"/>
        <v>9.2034166753214075E-2</v>
      </c>
      <c r="V45" s="82">
        <f>V21+V37</f>
        <v>159020246201</v>
      </c>
      <c r="W45" s="74">
        <f t="shared" si="5"/>
        <v>6.90278415021226E-2</v>
      </c>
      <c r="X45" s="82">
        <f>X21+X37</f>
        <v>148752202728</v>
      </c>
      <c r="Y45" s="74">
        <f t="shared" si="6"/>
        <v>8.1628760096450481E-2</v>
      </c>
      <c r="Z45" s="82">
        <f>Z21+Z37</f>
        <v>137526116368</v>
      </c>
      <c r="AA45" s="74">
        <f t="shared" si="7"/>
        <v>0.11167072051969162</v>
      </c>
      <c r="AB45" s="82">
        <f>AB21+AB37</f>
        <v>123711197776</v>
      </c>
      <c r="AC45" s="74">
        <f t="shared" si="8"/>
        <v>4.9523206616588489E-3</v>
      </c>
      <c r="AD45" s="82">
        <f>AD21+AD37</f>
        <v>123101559380</v>
      </c>
      <c r="AE45" s="74">
        <f t="shared" si="9"/>
        <v>-1.6864939398270162E-2</v>
      </c>
      <c r="AF45" s="73">
        <f>AF21+AF37</f>
        <v>125213273652</v>
      </c>
      <c r="AG45" s="74">
        <f t="shared" si="19"/>
        <v>0.10167246612913439</v>
      </c>
      <c r="AH45" s="82">
        <f>AH21+AH37</f>
        <v>331420936273</v>
      </c>
      <c r="AI45" s="74">
        <f t="shared" si="20"/>
        <v>0.53166722171088399</v>
      </c>
      <c r="AJ45" s="82">
        <f>AJ21+AJ37</f>
        <v>216379205336</v>
      </c>
      <c r="AK45" s="74">
        <f t="shared" si="10"/>
        <v>0.57336810673109206</v>
      </c>
      <c r="AL45" s="73">
        <v>137526116368</v>
      </c>
      <c r="AM45" s="74">
        <f t="shared" si="11"/>
        <v>0.21000538806595492</v>
      </c>
      <c r="AN45" s="73">
        <f>AN21+AN37</f>
        <v>113657441301</v>
      </c>
      <c r="AO45" s="74">
        <f t="shared" si="12"/>
        <v>0.50187156417414225</v>
      </c>
      <c r="AP45" s="73">
        <f>AP21+AP37</f>
        <v>75677204371</v>
      </c>
      <c r="AQ45" s="74">
        <f t="shared" si="13"/>
        <v>0.19816116385677218</v>
      </c>
      <c r="AR45" s="73">
        <f>AR21+AR37</f>
        <v>63161122772</v>
      </c>
      <c r="AS45" s="74">
        <f t="shared" si="14"/>
        <v>1.8657449476024195</v>
      </c>
      <c r="AT45" s="75">
        <f>AT21+AT37</f>
        <v>22040036335</v>
      </c>
    </row>
    <row r="46" spans="1:46" ht="16.95" customHeight="1" x14ac:dyDescent="0.4">
      <c r="P46" s="15" t="b">
        <f>P45=P2</f>
        <v>1</v>
      </c>
      <c r="R46" s="15" t="b">
        <f>R45=R2</f>
        <v>1</v>
      </c>
      <c r="T46" s="15" t="b">
        <f>T45=T2</f>
        <v>1</v>
      </c>
      <c r="V46" s="15" t="b">
        <f>V45=V2</f>
        <v>1</v>
      </c>
      <c r="X46" s="15" t="b">
        <f>X45=X2</f>
        <v>1</v>
      </c>
      <c r="Z46" s="15" t="b">
        <f>Z45=Z2</f>
        <v>1</v>
      </c>
      <c r="AB46" s="15" t="b">
        <f>AB45=AB2</f>
        <v>1</v>
      </c>
      <c r="AD46" s="15" t="b">
        <f>AD45=AD2</f>
        <v>1</v>
      </c>
      <c r="AF46" s="15" t="b">
        <f>AF45=AF2</f>
        <v>1</v>
      </c>
      <c r="AJ46" s="15" t="b">
        <f>AJ45=AJ2</f>
        <v>1</v>
      </c>
      <c r="AL46" s="15" t="b">
        <v>1</v>
      </c>
      <c r="AN46" s="15" t="b">
        <f>AN45=AN2</f>
        <v>1</v>
      </c>
      <c r="AP46" s="15" t="b">
        <f>AP45=AP2</f>
        <v>1</v>
      </c>
      <c r="AR46" s="15" t="b">
        <f>AR45=AR2</f>
        <v>1</v>
      </c>
      <c r="AT46" s="15" t="b">
        <f>AT45=AT2</f>
        <v>1</v>
      </c>
    </row>
    <row r="48" spans="1:46" ht="16.95" customHeight="1" x14ac:dyDescent="0.4">
      <c r="B48" s="15" t="s">
        <v>138</v>
      </c>
      <c r="C48" s="15" t="s">
        <v>139</v>
      </c>
    </row>
    <row r="49" spans="1:48" ht="16.95" customHeight="1" x14ac:dyDescent="0.4">
      <c r="A49" s="15">
        <v>7</v>
      </c>
      <c r="B49" s="26" t="s">
        <v>78</v>
      </c>
      <c r="C49" s="27" t="s">
        <v>79</v>
      </c>
      <c r="D49" s="113">
        <f>ROUND(D8/1000,0)</f>
        <v>21607032</v>
      </c>
      <c r="E49" s="59">
        <f>D49/F49-1</f>
        <v>-3.5137949124377954E-2</v>
      </c>
      <c r="F49" s="113">
        <f>ROUND(F8/1000,0)</f>
        <v>22393908</v>
      </c>
      <c r="G49" s="59">
        <f>F49/H49-1</f>
        <v>-2.2673849741313701E-3</v>
      </c>
      <c r="H49" s="113">
        <f>ROUND(H8/1000,0)</f>
        <v>22444799</v>
      </c>
      <c r="I49" s="59">
        <f>H49/J49-1</f>
        <v>-4.0724915009688778E-2</v>
      </c>
      <c r="J49" s="113">
        <f>ROUND(J8/1000,0)</f>
        <v>23397667</v>
      </c>
      <c r="K49" s="59">
        <f>J49/L49-1</f>
        <v>-6.8207701781315411E-2</v>
      </c>
      <c r="L49" s="113">
        <f>L8/1000</f>
        <v>25110388.919</v>
      </c>
      <c r="M49" s="59">
        <f>L49/N49-1</f>
        <v>0.11971921945669739</v>
      </c>
      <c r="N49" s="113">
        <f>N8/1000</f>
        <v>22425612.138</v>
      </c>
      <c r="O49" s="59">
        <f>N49/P49-1</f>
        <v>0.18670646366681809</v>
      </c>
      <c r="P49" s="80">
        <f>ROUND(P8/1000,0)</f>
        <v>18897354</v>
      </c>
      <c r="Q49" s="59">
        <f>P49/R49-1</f>
        <v>0.14770338511799674</v>
      </c>
      <c r="R49" s="80">
        <f>ROUND(R8/1000,0)</f>
        <v>16465364</v>
      </c>
      <c r="S49" s="59">
        <f>R49/T49-1</f>
        <v>0.29746550267974081</v>
      </c>
      <c r="T49" s="80">
        <f>ROUND(T8/1000,0)</f>
        <v>12690406</v>
      </c>
      <c r="U49" s="59">
        <f>T49/V49-1</f>
        <v>0.26600876221624459</v>
      </c>
      <c r="V49" s="80">
        <f>ROUND(V8/1000,0)</f>
        <v>10023948</v>
      </c>
      <c r="W49" s="59">
        <f>V49/X49-1</f>
        <v>9.089021412858167E-2</v>
      </c>
      <c r="X49" s="80">
        <f>ROUND(X8/1000,0)</f>
        <v>9188778</v>
      </c>
      <c r="Y49" s="59">
        <f>X49/Z49-1</f>
        <v>-7.5603088238326954E-2</v>
      </c>
      <c r="Z49" s="80">
        <f>ROUND(Z8/1000,0)</f>
        <v>9940295</v>
      </c>
      <c r="AA49" s="59">
        <f>Z49/AB49-1</f>
        <v>-0.17779852244688166</v>
      </c>
      <c r="AB49" s="80">
        <f>ROUND(AB8/1000,0)</f>
        <v>12089853</v>
      </c>
      <c r="AC49" s="59">
        <f>AB49/AD49-1</f>
        <v>8.52321536384264E-2</v>
      </c>
      <c r="AD49" s="80">
        <f>ROUND(AD8/1000,0)</f>
        <v>11140338</v>
      </c>
      <c r="AE49" s="59">
        <f>AD49/AF49-1</f>
        <v>0.1840408045918982</v>
      </c>
      <c r="AF49" s="80">
        <f>ROUND(AF8/1000,0)</f>
        <v>9408745</v>
      </c>
      <c r="AG49" s="59">
        <f>AF49/AN49-1</f>
        <v>7.8646328089335249E-2</v>
      </c>
      <c r="AH49" s="80"/>
      <c r="AI49" s="59"/>
      <c r="AJ49" s="80">
        <f>ROUND(AJ8/1000,0)</f>
        <v>16465364</v>
      </c>
      <c r="AK49" s="59">
        <f>AJ49/AL49-1</f>
        <v>0.6564260919821796</v>
      </c>
      <c r="AL49" s="80">
        <f>ROUND(AL8/1000,0)</f>
        <v>9940295</v>
      </c>
      <c r="AM49" s="59">
        <f>AL49/AN49-1</f>
        <v>0.13958479073189678</v>
      </c>
      <c r="AN49" s="80">
        <f>ROUND(AN8/1000,0)</f>
        <v>8722734</v>
      </c>
      <c r="AO49" s="59">
        <f>AN49/AP49-1</f>
        <v>0.47677675306771072</v>
      </c>
      <c r="AP49" s="80">
        <f>ROUND(AP8/1000,0)</f>
        <v>5906603</v>
      </c>
      <c r="AQ49" s="59">
        <f>AP49/AR49-1</f>
        <v>0.16062160995934116</v>
      </c>
      <c r="AR49" s="80">
        <f>ROUND(AR8/1000,0)</f>
        <v>5089172</v>
      </c>
      <c r="AS49" s="59">
        <f>AR49/AT49-1</f>
        <v>0.27472230202708814</v>
      </c>
      <c r="AT49" s="80">
        <f>ROUND(AT8/1000,0)</f>
        <v>3992377</v>
      </c>
    </row>
    <row r="50" spans="1:48" ht="16.95" customHeight="1" x14ac:dyDescent="0.4">
      <c r="B50" s="15" t="s">
        <v>140</v>
      </c>
      <c r="C50" s="15" t="s">
        <v>238</v>
      </c>
      <c r="D50" s="114">
        <v>5799141.7949999999</v>
      </c>
      <c r="F50" s="114">
        <v>5433224.892</v>
      </c>
      <c r="H50" s="114">
        <v>4616302.0599999996</v>
      </c>
      <c r="J50" s="114">
        <v>5738925.7939999998</v>
      </c>
      <c r="L50" s="114">
        <v>6335241</v>
      </c>
      <c r="N50" s="114">
        <v>4974872.7379999999</v>
      </c>
      <c r="P50" s="34">
        <v>4851042</v>
      </c>
      <c r="R50" s="34">
        <v>4604266</v>
      </c>
      <c r="Z50" s="34">
        <v>2536692</v>
      </c>
      <c r="AH50" s="34"/>
      <c r="AJ50" s="34">
        <v>4604266</v>
      </c>
      <c r="AL50" s="34">
        <v>2536692</v>
      </c>
      <c r="AN50" s="34">
        <v>3171551</v>
      </c>
      <c r="AP50" s="34">
        <v>2599649</v>
      </c>
      <c r="AR50" s="34">
        <v>2180994</v>
      </c>
      <c r="AT50" s="34">
        <v>2044460</v>
      </c>
    </row>
    <row r="51" spans="1:48" ht="16.95" customHeight="1" x14ac:dyDescent="0.4">
      <c r="B51" s="15" t="s">
        <v>141</v>
      </c>
      <c r="C51" s="15" t="s">
        <v>239</v>
      </c>
      <c r="D51" s="114">
        <v>2897536.9819999998</v>
      </c>
      <c r="F51" s="114">
        <v>3004040.2510000002</v>
      </c>
      <c r="H51" s="114">
        <v>2844397.3330000001</v>
      </c>
      <c r="J51" s="114">
        <v>3045747.389</v>
      </c>
      <c r="L51" s="114">
        <v>3738653</v>
      </c>
      <c r="N51" s="114">
        <v>3631451.7209999999</v>
      </c>
      <c r="P51" s="34">
        <v>2491646</v>
      </c>
      <c r="R51" s="34">
        <v>1830526</v>
      </c>
      <c r="Z51" s="34">
        <v>916619</v>
      </c>
      <c r="AH51" s="34"/>
      <c r="AJ51" s="34">
        <v>1830526</v>
      </c>
      <c r="AL51" s="34">
        <v>916619</v>
      </c>
      <c r="AN51" s="34">
        <v>846610</v>
      </c>
      <c r="AP51" s="34">
        <v>483207</v>
      </c>
      <c r="AR51" s="34">
        <v>388302</v>
      </c>
      <c r="AT51" s="34">
        <v>304140</v>
      </c>
    </row>
    <row r="52" spans="1:48" ht="16.95" customHeight="1" x14ac:dyDescent="0.4">
      <c r="B52" s="15" t="s">
        <v>142</v>
      </c>
      <c r="C52" s="15" t="s">
        <v>143</v>
      </c>
      <c r="D52" s="114">
        <v>12910353.472999999</v>
      </c>
      <c r="F52" s="114">
        <v>13956642.719000001</v>
      </c>
      <c r="H52" s="114">
        <v>14984099.27</v>
      </c>
      <c r="J52" s="114">
        <v>14612993.802999999</v>
      </c>
      <c r="L52" s="114">
        <v>15002321</v>
      </c>
      <c r="N52" s="114">
        <v>13819287.679</v>
      </c>
      <c r="P52" s="34">
        <v>11554666</v>
      </c>
      <c r="R52" s="34">
        <v>10030572</v>
      </c>
      <c r="Z52" s="34">
        <v>6486984</v>
      </c>
      <c r="AH52" s="34"/>
      <c r="AJ52" s="34">
        <v>10030572</v>
      </c>
      <c r="AL52" s="34">
        <v>6486984</v>
      </c>
      <c r="AN52" s="34">
        <v>4699873</v>
      </c>
      <c r="AP52" s="34">
        <v>2819476</v>
      </c>
      <c r="AR52" s="34">
        <v>2436238</v>
      </c>
      <c r="AT52" s="34">
        <v>1614686</v>
      </c>
    </row>
    <row r="53" spans="1:48" ht="16.95" customHeight="1" x14ac:dyDescent="0.4">
      <c r="B53" s="15" t="s">
        <v>144</v>
      </c>
      <c r="C53" s="15" t="s">
        <v>145</v>
      </c>
      <c r="D53" s="34"/>
      <c r="F53" s="34"/>
      <c r="H53" s="34"/>
      <c r="J53" s="34" t="s">
        <v>32</v>
      </c>
      <c r="L53" s="34" t="s">
        <v>32</v>
      </c>
      <c r="N53" s="34">
        <v>0</v>
      </c>
      <c r="P53" s="34"/>
      <c r="R53" s="34">
        <v>0</v>
      </c>
      <c r="Z53" s="34">
        <v>0</v>
      </c>
      <c r="AH53" s="34"/>
      <c r="AJ53" s="34">
        <v>0</v>
      </c>
      <c r="AL53" s="34">
        <v>0</v>
      </c>
      <c r="AN53" s="34">
        <v>4700</v>
      </c>
      <c r="AP53" s="34">
        <v>4271</v>
      </c>
      <c r="AR53" s="34">
        <v>83638</v>
      </c>
      <c r="AT53" s="34">
        <v>29091</v>
      </c>
    </row>
    <row r="54" spans="1:48" ht="16.95" customHeight="1" x14ac:dyDescent="0.4">
      <c r="D54" s="34">
        <f>ROUND(SUM(D50:D52),0)</f>
        <v>21607032</v>
      </c>
      <c r="F54" s="34">
        <f>ROUND(SUM(F50:F52),0)</f>
        <v>22393908</v>
      </c>
      <c r="H54" s="34">
        <f>ROUND(SUM(H50:H52),0)</f>
        <v>22444799</v>
      </c>
      <c r="J54" s="34">
        <f>ROUND(SUM(J50:J52),0)</f>
        <v>23397667</v>
      </c>
      <c r="L54" s="34">
        <f>SUM(L50:L52)</f>
        <v>25076215</v>
      </c>
      <c r="N54" s="34">
        <f>SUM(N50:N52)</f>
        <v>22425612.137999997</v>
      </c>
      <c r="P54" s="34">
        <f>SUM(P50:P52)</f>
        <v>18897354</v>
      </c>
      <c r="R54" s="34">
        <f>SUM(R50:R52)</f>
        <v>16465364</v>
      </c>
      <c r="Z54" s="34">
        <f>SUM(Z50:Z52)</f>
        <v>9940295</v>
      </c>
      <c r="AH54" s="34"/>
      <c r="AJ54" s="34">
        <f>SUM(AJ50:AJ52)</f>
        <v>16465364</v>
      </c>
      <c r="AL54" s="34">
        <f>SUM(AL50:AL53)</f>
        <v>9940295</v>
      </c>
      <c r="AN54" s="34">
        <f>SUM(AN50:AN53)</f>
        <v>8722734</v>
      </c>
      <c r="AP54" s="34">
        <f>SUM(AP50:AP53)</f>
        <v>5906603</v>
      </c>
      <c r="AR54" s="34">
        <f>SUM(AR50:AR53)</f>
        <v>5089172</v>
      </c>
      <c r="AT54" s="34">
        <f>SUM(AT50:AT53)</f>
        <v>3992377</v>
      </c>
    </row>
    <row r="55" spans="1:48" ht="16.95" customHeight="1" x14ac:dyDescent="0.4">
      <c r="D55" s="35" t="b">
        <f>D49=D54</f>
        <v>1</v>
      </c>
      <c r="F55" s="35" t="b">
        <f>F49=F54</f>
        <v>1</v>
      </c>
      <c r="H55" s="35" t="b">
        <f>H49=H54</f>
        <v>1</v>
      </c>
      <c r="J55" s="35" t="b">
        <f>J49=J54</f>
        <v>1</v>
      </c>
      <c r="L55" s="35" t="b">
        <f>L49=L54</f>
        <v>0</v>
      </c>
      <c r="N55" s="35" t="b">
        <f>N49=N54</f>
        <v>1</v>
      </c>
      <c r="P55" s="35" t="b">
        <f>P49=P54</f>
        <v>1</v>
      </c>
      <c r="R55" s="35" t="b">
        <f>R49=R54</f>
        <v>1</v>
      </c>
      <c r="T55" s="35"/>
      <c r="V55" s="35"/>
      <c r="X55" s="35"/>
      <c r="Z55" s="35" t="b">
        <f>Z49=Z54</f>
        <v>1</v>
      </c>
      <c r="AB55" s="35"/>
      <c r="AD55" s="35"/>
      <c r="AF55" s="35"/>
      <c r="AH55" s="35"/>
      <c r="AJ55" s="35" t="b">
        <f>AJ49=AJ54</f>
        <v>1</v>
      </c>
      <c r="AL55" s="35" t="b">
        <f>AL49=AL54</f>
        <v>1</v>
      </c>
      <c r="AN55" s="35" t="b">
        <f>AN49=AN54</f>
        <v>1</v>
      </c>
      <c r="AP55" s="35" t="b">
        <f>AP49=AP54</f>
        <v>1</v>
      </c>
      <c r="AR55" s="35" t="b">
        <f>AR49=AR54</f>
        <v>1</v>
      </c>
      <c r="AT55" s="35" t="b">
        <f>AT49=AT54</f>
        <v>1</v>
      </c>
      <c r="AV55" s="35"/>
    </row>
    <row r="56" spans="1:48" ht="16.95" customHeight="1" x14ac:dyDescent="0.4">
      <c r="D56" s="114"/>
      <c r="F56" s="114"/>
      <c r="H56" s="114"/>
      <c r="J56" s="114"/>
      <c r="L56" s="114"/>
      <c r="N56" s="114"/>
      <c r="P56" s="34"/>
      <c r="R56" s="34"/>
      <c r="AH56" s="34"/>
      <c r="AJ56" s="34"/>
      <c r="AP56" s="35"/>
    </row>
    <row r="57" spans="1:48" ht="16.95" customHeight="1" x14ac:dyDescent="0.4">
      <c r="A57" s="15">
        <v>16</v>
      </c>
      <c r="B57" s="26" t="s">
        <v>81</v>
      </c>
      <c r="C57" s="27" t="s">
        <v>82</v>
      </c>
      <c r="D57" s="34">
        <f>ROUND(D10/1000,0)</f>
        <v>10766059</v>
      </c>
      <c r="F57" s="34">
        <f>ROUND(F10/1000,0)</f>
        <v>3222878</v>
      </c>
      <c r="H57" s="34">
        <f>ROUND(H10/1000,0)</f>
        <v>3831179</v>
      </c>
      <c r="J57" s="34">
        <f>ROUND(J10/1000,0)</f>
        <v>2705307</v>
      </c>
      <c r="L57" s="115">
        <f>L10/1000</f>
        <v>3332322.4980000001</v>
      </c>
      <c r="N57" s="115">
        <f>N10/1000</f>
        <v>3564527.202</v>
      </c>
      <c r="P57" s="34">
        <v>8540707</v>
      </c>
      <c r="R57" s="34">
        <f>ROUND(R10/1000,0)</f>
        <v>5715121</v>
      </c>
      <c r="Z57" s="34">
        <f>ROUND(Z10/1000,0)</f>
        <v>511858</v>
      </c>
      <c r="AH57" s="34"/>
      <c r="AJ57" s="34">
        <f>ROUND(AJ10/1000,0)</f>
        <v>5715121</v>
      </c>
      <c r="AL57" s="34">
        <f>ROUND(AL10/1000,0)</f>
        <v>511858</v>
      </c>
      <c r="AN57" s="34">
        <f t="shared" ref="AN57:AT57" si="24">ROUND(AN10/1000,0)</f>
        <v>737094</v>
      </c>
      <c r="AP57" s="34">
        <f t="shared" si="24"/>
        <v>1589953</v>
      </c>
      <c r="AR57" s="34">
        <f t="shared" si="24"/>
        <v>825544</v>
      </c>
      <c r="AT57" s="34">
        <f t="shared" si="24"/>
        <v>631818</v>
      </c>
    </row>
    <row r="58" spans="1:48" ht="16.95" customHeight="1" x14ac:dyDescent="0.4">
      <c r="B58" s="15" t="s">
        <v>146</v>
      </c>
      <c r="C58" s="15" t="s">
        <v>260</v>
      </c>
      <c r="D58" s="114">
        <v>9665035.0920000002</v>
      </c>
      <c r="F58" s="114">
        <v>1469298.324</v>
      </c>
      <c r="H58" s="114">
        <v>1800312.1640000001</v>
      </c>
      <c r="J58" s="114">
        <v>2442156.8629999999</v>
      </c>
      <c r="L58" s="114">
        <v>3147654.5970000001</v>
      </c>
      <c r="N58" s="114">
        <v>2778445.8119999999</v>
      </c>
      <c r="P58" s="34">
        <v>4927492</v>
      </c>
      <c r="R58" s="34">
        <v>3238706</v>
      </c>
      <c r="Z58" s="34">
        <v>417228</v>
      </c>
      <c r="AH58" s="34"/>
      <c r="AJ58" s="34">
        <v>3238706</v>
      </c>
      <c r="AL58" s="34">
        <v>417228</v>
      </c>
      <c r="AN58" s="34">
        <v>654050</v>
      </c>
      <c r="AP58" s="34">
        <v>958261</v>
      </c>
      <c r="AR58" s="34">
        <v>716440</v>
      </c>
      <c r="AT58" s="34">
        <v>584931</v>
      </c>
    </row>
    <row r="59" spans="1:48" ht="16.95" customHeight="1" x14ac:dyDescent="0.4">
      <c r="B59" s="15" t="s">
        <v>147</v>
      </c>
      <c r="C59" s="15" t="s">
        <v>261</v>
      </c>
      <c r="D59" s="114">
        <v>1101001.5649999999</v>
      </c>
      <c r="F59" s="114">
        <v>1753579.973</v>
      </c>
      <c r="H59" s="114">
        <v>2026110.22</v>
      </c>
      <c r="J59" s="114">
        <v>258609.25700000001</v>
      </c>
      <c r="L59" s="114">
        <v>179670.503</v>
      </c>
      <c r="N59" s="114">
        <v>750053.91799999995</v>
      </c>
      <c r="P59" s="34">
        <v>1090143</v>
      </c>
      <c r="R59" s="34">
        <v>1110968</v>
      </c>
      <c r="Z59" s="34">
        <v>94630</v>
      </c>
      <c r="AH59" s="34"/>
      <c r="AJ59" s="34">
        <v>1110968</v>
      </c>
      <c r="AL59" s="34">
        <v>94630</v>
      </c>
      <c r="AN59" s="34">
        <v>79824</v>
      </c>
      <c r="AP59" s="34">
        <v>55570</v>
      </c>
      <c r="AR59" s="34">
        <v>55008</v>
      </c>
      <c r="AT59" s="34">
        <v>4243</v>
      </c>
    </row>
    <row r="60" spans="1:48" ht="16.95" customHeight="1" x14ac:dyDescent="0.4">
      <c r="B60" s="15" t="s">
        <v>148</v>
      </c>
      <c r="C60" s="15" t="s">
        <v>149</v>
      </c>
      <c r="D60" s="114">
        <v>22.111999999999998</v>
      </c>
      <c r="F60" s="114" t="s">
        <v>32</v>
      </c>
      <c r="H60" s="114">
        <v>4756.5330000000004</v>
      </c>
      <c r="J60" s="114">
        <v>4541.3599999999997</v>
      </c>
      <c r="L60" s="114">
        <v>4997.3980000000001</v>
      </c>
      <c r="N60" s="114">
        <v>36027.472000000002</v>
      </c>
      <c r="P60" s="34">
        <v>2523072</v>
      </c>
      <c r="R60" s="34">
        <v>1365447</v>
      </c>
      <c r="Z60" s="34">
        <v>0</v>
      </c>
      <c r="AH60" s="34"/>
      <c r="AJ60" s="34">
        <v>1365447</v>
      </c>
      <c r="AL60" s="34">
        <v>0</v>
      </c>
      <c r="AN60" s="34">
        <v>3220</v>
      </c>
      <c r="AP60" s="34">
        <v>576122</v>
      </c>
      <c r="AR60" s="34">
        <v>54096</v>
      </c>
      <c r="AT60" s="34">
        <v>42644</v>
      </c>
    </row>
    <row r="61" spans="1:48" ht="16.95" customHeight="1" x14ac:dyDescent="0.4">
      <c r="D61" s="34">
        <f>ROUND(SUM(D58:D60),0)</f>
        <v>10766059</v>
      </c>
      <c r="F61" s="34">
        <f>ROUND(SUM(F58:F60),0)</f>
        <v>3222878</v>
      </c>
      <c r="H61" s="34">
        <f>ROUND(SUM(H58:H60),0)</f>
        <v>3831179</v>
      </c>
      <c r="J61" s="34">
        <f>ROUND(SUM(J58:J60),0)</f>
        <v>2705307</v>
      </c>
      <c r="L61" s="34">
        <f>SUM(L58:L60)</f>
        <v>3332322.4980000001</v>
      </c>
      <c r="N61" s="34">
        <f>SUM(N58:N60)</f>
        <v>3564527.202</v>
      </c>
      <c r="P61" s="34">
        <f>SUM(P58:P60)</f>
        <v>8540707</v>
      </c>
      <c r="R61" s="34">
        <f>SUM(R58:R60)</f>
        <v>5715121</v>
      </c>
      <c r="Z61" s="34">
        <f>SUM(Z58:Z60)</f>
        <v>511858</v>
      </c>
      <c r="AH61" s="34"/>
      <c r="AJ61" s="34">
        <f>SUM(AJ58:AJ60)</f>
        <v>5715121</v>
      </c>
      <c r="AL61" s="34">
        <f>SUM(AL58:AL60)</f>
        <v>511858</v>
      </c>
      <c r="AN61" s="34">
        <f t="shared" ref="AN61:AT61" si="25">SUM(AN58:AN60)</f>
        <v>737094</v>
      </c>
      <c r="AP61" s="34">
        <f t="shared" si="25"/>
        <v>1589953</v>
      </c>
      <c r="AR61" s="34">
        <f t="shared" si="25"/>
        <v>825544</v>
      </c>
      <c r="AT61" s="34">
        <f t="shared" si="25"/>
        <v>631818</v>
      </c>
    </row>
    <row r="62" spans="1:48" ht="16.95" customHeight="1" x14ac:dyDescent="0.4">
      <c r="D62" s="35" t="b">
        <f>D57=D61</f>
        <v>1</v>
      </c>
      <c r="F62" s="35" t="b">
        <f>F57=F61</f>
        <v>1</v>
      </c>
      <c r="H62" s="35" t="b">
        <f>H57=H61</f>
        <v>1</v>
      </c>
      <c r="J62" s="35" t="b">
        <f>J57=J61</f>
        <v>1</v>
      </c>
      <c r="L62" s="35" t="b">
        <f>L57=L61</f>
        <v>1</v>
      </c>
      <c r="N62" s="35" t="b">
        <f>N57=N61</f>
        <v>1</v>
      </c>
      <c r="P62" s="35" t="b">
        <f>P57=P61</f>
        <v>1</v>
      </c>
      <c r="R62" s="35" t="b">
        <f>R57=R61</f>
        <v>1</v>
      </c>
      <c r="Z62" s="35" t="b">
        <f>ROUND(Z57,0)=SUM(Z58:Z60)</f>
        <v>1</v>
      </c>
      <c r="AH62" s="35"/>
      <c r="AJ62" s="35" t="b">
        <f>AJ57=AJ61</f>
        <v>1</v>
      </c>
      <c r="AL62" s="35" t="b">
        <f>ROUND(AL57,0)=SUM(AL58:AL60)</f>
        <v>1</v>
      </c>
      <c r="AN62" s="35" t="b">
        <f>ROUND(AN57,0)=SUM(AN58:AN60)</f>
        <v>1</v>
      </c>
      <c r="AP62" s="35" t="b">
        <f>ROUND(AP57,0)=SUM(AP58:AP60)</f>
        <v>1</v>
      </c>
      <c r="AR62" s="35" t="b">
        <f>ROUND(AR57,0)=SUM(AR58:AR60)</f>
        <v>1</v>
      </c>
      <c r="AT62" s="35" t="b">
        <f>ROUND(AT57,0)=SUM(AT58:AT60)</f>
        <v>1</v>
      </c>
    </row>
    <row r="63" spans="1:48" ht="16.95" customHeight="1" x14ac:dyDescent="0.4">
      <c r="D63" s="114"/>
      <c r="F63" s="114"/>
      <c r="H63" s="114"/>
      <c r="J63" s="114"/>
      <c r="L63" s="114"/>
      <c r="N63" s="114"/>
      <c r="P63" s="35"/>
      <c r="R63" s="35"/>
      <c r="AH63" s="35"/>
      <c r="AJ63" s="35"/>
    </row>
    <row r="64" spans="1:48" ht="16.95" customHeight="1" x14ac:dyDescent="0.4">
      <c r="A64" s="103">
        <v>25</v>
      </c>
      <c r="B64" s="26" t="s">
        <v>106</v>
      </c>
      <c r="C64" s="27" t="s">
        <v>107</v>
      </c>
      <c r="D64" s="80">
        <f>ROUND(D27/1000,0)</f>
        <v>5309121</v>
      </c>
      <c r="F64" s="80">
        <f>ROUND(F27/1000,0)</f>
        <v>4661582</v>
      </c>
      <c r="H64" s="80">
        <f>ROUND(H27/1000,0)</f>
        <v>4825827</v>
      </c>
      <c r="J64" s="80">
        <f>ROUND(J27/1000,0)</f>
        <v>6293183</v>
      </c>
      <c r="L64" s="80">
        <f>(L27/1000)</f>
        <v>12630312.449999999</v>
      </c>
      <c r="N64" s="80">
        <f>(N27/1000)</f>
        <v>6630467.3159999996</v>
      </c>
      <c r="P64" s="80">
        <f>ROUND(P27/1000,0)</f>
        <v>6687188</v>
      </c>
      <c r="R64" s="80">
        <f>ROUND(R27/1000,0)</f>
        <v>6742818</v>
      </c>
      <c r="Z64" s="80">
        <f>ROUND(Z27/1000,0)</f>
        <v>6641273</v>
      </c>
      <c r="AH64" s="80"/>
      <c r="AJ64" s="80">
        <f>ROUND(AJ27/1000,0)</f>
        <v>6742818</v>
      </c>
      <c r="AL64" s="80">
        <f>ROUND(AL27/1000,0)</f>
        <v>6641273</v>
      </c>
      <c r="AN64" s="80">
        <f>ROUND(AN27/1000,0)</f>
        <v>6165876</v>
      </c>
      <c r="AP64" s="80">
        <f>ROUND(AP27/1000,0)</f>
        <v>5177831</v>
      </c>
      <c r="AR64" s="80">
        <f>ROUND(AR27/1000,0)</f>
        <v>4523369</v>
      </c>
      <c r="AT64" s="80">
        <f>ROUND(AT27/1000,0)</f>
        <v>3315473</v>
      </c>
    </row>
    <row r="65" spans="2:46" ht="16.95" customHeight="1" x14ac:dyDescent="0.4">
      <c r="B65" s="15" t="s">
        <v>150</v>
      </c>
      <c r="C65" s="15" t="s">
        <v>151</v>
      </c>
      <c r="D65" s="114">
        <v>9544.402</v>
      </c>
      <c r="F65" s="114">
        <v>7755.652</v>
      </c>
      <c r="H65" s="114">
        <v>6312.0519999999997</v>
      </c>
      <c r="J65" s="114">
        <v>4498.527</v>
      </c>
      <c r="L65" s="114">
        <v>253357.03</v>
      </c>
      <c r="N65" s="114">
        <v>105343.67</v>
      </c>
      <c r="P65" s="34">
        <v>350029</v>
      </c>
      <c r="R65" s="34">
        <v>1243534</v>
      </c>
      <c r="Z65" s="34">
        <v>1061695</v>
      </c>
      <c r="AH65" s="34"/>
      <c r="AJ65" s="34">
        <v>1243534</v>
      </c>
      <c r="AL65" s="34">
        <v>1061695</v>
      </c>
      <c r="AN65" s="34">
        <v>465033</v>
      </c>
      <c r="AP65" s="34">
        <v>224776</v>
      </c>
      <c r="AR65" s="34">
        <v>258773</v>
      </c>
      <c r="AT65" s="34">
        <v>109903</v>
      </c>
    </row>
    <row r="66" spans="2:46" ht="16.95" customHeight="1" x14ac:dyDescent="0.4">
      <c r="B66" s="15" t="s">
        <v>152</v>
      </c>
      <c r="C66" s="15" t="s">
        <v>153</v>
      </c>
      <c r="D66" s="34">
        <v>471967.58600000001</v>
      </c>
      <c r="F66" s="34">
        <v>145335.35800000001</v>
      </c>
      <c r="H66" s="34">
        <v>293228.05499999999</v>
      </c>
      <c r="J66" s="34">
        <v>975357.90500000003</v>
      </c>
      <c r="L66" s="34">
        <v>19603.116999999998</v>
      </c>
      <c r="N66" s="34">
        <v>0</v>
      </c>
      <c r="P66" s="34">
        <v>0</v>
      </c>
      <c r="R66" s="34">
        <v>0</v>
      </c>
      <c r="Z66" s="34">
        <v>392072</v>
      </c>
      <c r="AH66" s="34"/>
      <c r="AJ66" s="34">
        <v>0</v>
      </c>
      <c r="AL66" s="34">
        <v>392072</v>
      </c>
      <c r="AN66" s="34">
        <v>447770</v>
      </c>
      <c r="AP66" s="34">
        <v>823</v>
      </c>
      <c r="AR66" s="34">
        <v>12310</v>
      </c>
      <c r="AT66" s="34">
        <v>0</v>
      </c>
    </row>
    <row r="67" spans="2:46" ht="16.95" customHeight="1" x14ac:dyDescent="0.4">
      <c r="B67" s="15" t="s">
        <v>154</v>
      </c>
      <c r="C67" s="15" t="s">
        <v>155</v>
      </c>
      <c r="D67" s="114">
        <v>4827609.3159999996</v>
      </c>
      <c r="F67" s="114">
        <v>4508490.8890000004</v>
      </c>
      <c r="H67" s="114">
        <v>4526287.0020000003</v>
      </c>
      <c r="J67" s="114">
        <v>5313326.33</v>
      </c>
      <c r="L67" s="114">
        <v>12357352.302999999</v>
      </c>
      <c r="N67" s="114">
        <v>6525123.6459999997</v>
      </c>
      <c r="P67" s="34">
        <v>6337159</v>
      </c>
      <c r="R67" s="34">
        <v>5499284</v>
      </c>
      <c r="Z67" s="34">
        <v>5187506</v>
      </c>
      <c r="AH67" s="34"/>
      <c r="AJ67" s="34">
        <v>5499284</v>
      </c>
      <c r="AL67" s="34">
        <v>5187506</v>
      </c>
      <c r="AN67" s="34">
        <v>5253073</v>
      </c>
      <c r="AP67" s="34">
        <v>4952232</v>
      </c>
      <c r="AR67" s="34">
        <v>4252286</v>
      </c>
      <c r="AT67" s="34">
        <v>3205570</v>
      </c>
    </row>
    <row r="68" spans="2:46" ht="16.95" customHeight="1" x14ac:dyDescent="0.4">
      <c r="B68" s="15" t="s">
        <v>156</v>
      </c>
      <c r="C68" s="15" t="s">
        <v>263</v>
      </c>
      <c r="D68" s="114" t="s">
        <v>32</v>
      </c>
      <c r="F68" s="114"/>
      <c r="H68" s="114"/>
      <c r="J68" s="114"/>
      <c r="L68" s="114"/>
      <c r="N68" s="114"/>
      <c r="P68" s="34"/>
      <c r="R68" s="34"/>
      <c r="Z68" s="34"/>
      <c r="AH68" s="34"/>
      <c r="AJ68" s="34"/>
      <c r="AL68" s="34"/>
      <c r="AN68" s="34"/>
      <c r="AP68" s="34"/>
      <c r="AR68" s="34"/>
      <c r="AT68" s="34"/>
    </row>
    <row r="69" spans="2:46" ht="16.95" customHeight="1" x14ac:dyDescent="0.4">
      <c r="D69" s="34">
        <f>ROUND(SUM(D65:D67),0)</f>
        <v>5309121</v>
      </c>
      <c r="F69" s="34">
        <f>ROUND(SUM(F65:F67),0)</f>
        <v>4661582</v>
      </c>
      <c r="H69" s="34">
        <f>ROUND(SUM(H65:H67),0)</f>
        <v>4825827</v>
      </c>
      <c r="J69" s="34">
        <f>ROUND(SUM(J65:J67),0)</f>
        <v>6293183</v>
      </c>
      <c r="L69" s="34">
        <f>SUM(L65:L68)</f>
        <v>12630312.449999999</v>
      </c>
      <c r="N69" s="34">
        <f>SUM(N65:N67)</f>
        <v>6630467.3159999996</v>
      </c>
      <c r="P69" s="34">
        <f>SUM(P65:P67)</f>
        <v>6687188</v>
      </c>
      <c r="R69" s="34">
        <f>SUM(R65:R67)</f>
        <v>6742818</v>
      </c>
      <c r="Z69" s="34">
        <f>SUM(Z65:Z67)</f>
        <v>6641273</v>
      </c>
      <c r="AH69" s="34"/>
      <c r="AJ69" s="34">
        <f>SUM(AJ65:AJ67)</f>
        <v>6742818</v>
      </c>
      <c r="AL69" s="34">
        <f>SUM(AL65:AL67)</f>
        <v>6641273</v>
      </c>
      <c r="AN69" s="34">
        <f t="shared" ref="AN69:AT69" si="26">SUM(AN65:AN67)</f>
        <v>6165876</v>
      </c>
      <c r="AP69" s="34">
        <f>SUM(AP65:AP67)</f>
        <v>5177831</v>
      </c>
      <c r="AR69" s="34">
        <f t="shared" si="26"/>
        <v>4523369</v>
      </c>
      <c r="AT69" s="34">
        <f t="shared" si="26"/>
        <v>3315473</v>
      </c>
    </row>
    <row r="70" spans="2:46" ht="16.95" customHeight="1" x14ac:dyDescent="0.4">
      <c r="D70" s="35" t="b">
        <f>D64=D69</f>
        <v>1</v>
      </c>
      <c r="F70" s="35" t="b">
        <f>F64=F69</f>
        <v>1</v>
      </c>
      <c r="H70" s="35" t="b">
        <f>H64=H69</f>
        <v>1</v>
      </c>
      <c r="J70" s="35" t="b">
        <f>J64=J69</f>
        <v>1</v>
      </c>
      <c r="L70" s="35" t="b">
        <f>L64=L69</f>
        <v>1</v>
      </c>
      <c r="N70" s="35" t="b">
        <f>N64=N69</f>
        <v>1</v>
      </c>
      <c r="P70" s="35" t="b">
        <f>P64=P69</f>
        <v>1</v>
      </c>
      <c r="R70" s="35" t="b">
        <f>R64=R69</f>
        <v>1</v>
      </c>
      <c r="Z70" s="35" t="b">
        <f>Z64=Z69</f>
        <v>1</v>
      </c>
      <c r="AH70" s="35"/>
      <c r="AJ70" s="35" t="b">
        <f>AJ64=AJ69</f>
        <v>1</v>
      </c>
      <c r="AL70" s="35" t="b">
        <f>AL64=AL69</f>
        <v>1</v>
      </c>
      <c r="AN70" s="35" t="b">
        <f t="shared" ref="AN70:AT70" si="27">AN64=AN69</f>
        <v>1</v>
      </c>
      <c r="AP70" s="35" t="b">
        <f t="shared" si="27"/>
        <v>1</v>
      </c>
      <c r="AR70" s="35" t="b">
        <f t="shared" si="27"/>
        <v>1</v>
      </c>
      <c r="AT70" s="35" t="b">
        <f t="shared" si="27"/>
        <v>1</v>
      </c>
    </row>
  </sheetData>
  <phoneticPr fontId="3" type="noConversion"/>
  <conditionalFormatting sqref="E1">
    <cfRule type="cellIs" dxfId="239" priority="1" operator="lessThan">
      <formula>-0.1</formula>
    </cfRule>
    <cfRule type="cellIs" dxfId="238" priority="2" operator="greaterThan">
      <formula>0.1</formula>
    </cfRule>
  </conditionalFormatting>
  <conditionalFormatting sqref="E4:E20 E22:E23">
    <cfRule type="cellIs" dxfId="237" priority="9" operator="lessThan">
      <formula>-0.1</formula>
    </cfRule>
    <cfRule type="cellIs" dxfId="236" priority="10" operator="greaterThan">
      <formula>0.1</formula>
    </cfRule>
  </conditionalFormatting>
  <conditionalFormatting sqref="E25:E31 E33">
    <cfRule type="cellIs" dxfId="235" priority="7" operator="lessThan">
      <formula>-0.1</formula>
    </cfRule>
    <cfRule type="cellIs" dxfId="234" priority="8" operator="greaterThan">
      <formula>0.1</formula>
    </cfRule>
  </conditionalFormatting>
  <conditionalFormatting sqref="E35:E45">
    <cfRule type="cellIs" dxfId="233" priority="5" operator="lessThan">
      <formula>-0.1</formula>
    </cfRule>
    <cfRule type="cellIs" dxfId="232" priority="6" operator="greaterThan">
      <formula>0.1</formula>
    </cfRule>
  </conditionalFormatting>
  <conditionalFormatting sqref="E49">
    <cfRule type="cellIs" dxfId="231" priority="3" operator="lessThan">
      <formula>-0.1</formula>
    </cfRule>
    <cfRule type="cellIs" dxfId="230" priority="4" operator="greaterThan">
      <formula>0.1</formula>
    </cfRule>
  </conditionalFormatting>
  <conditionalFormatting sqref="G1">
    <cfRule type="cellIs" dxfId="229" priority="49" operator="lessThan">
      <formula>-0.1</formula>
    </cfRule>
    <cfRule type="cellIs" dxfId="228" priority="50" operator="greaterThan">
      <formula>0.1</formula>
    </cfRule>
  </conditionalFormatting>
  <conditionalFormatting sqref="G4:G20 G22:G23">
    <cfRule type="cellIs" dxfId="227" priority="58" operator="greaterThan">
      <formula>0.1</formula>
    </cfRule>
    <cfRule type="cellIs" dxfId="226" priority="57" operator="lessThan">
      <formula>-0.1</formula>
    </cfRule>
  </conditionalFormatting>
  <conditionalFormatting sqref="G25:G31 G33">
    <cfRule type="cellIs" dxfId="225" priority="55" operator="lessThan">
      <formula>-0.1</formula>
    </cfRule>
    <cfRule type="cellIs" dxfId="224" priority="56" operator="greaterThan">
      <formula>0.1</formula>
    </cfRule>
  </conditionalFormatting>
  <conditionalFormatting sqref="G35:G45">
    <cfRule type="cellIs" dxfId="223" priority="54" operator="greaterThan">
      <formula>0.1</formula>
    </cfRule>
    <cfRule type="cellIs" dxfId="222" priority="53" operator="lessThan">
      <formula>-0.1</formula>
    </cfRule>
  </conditionalFormatting>
  <conditionalFormatting sqref="G49">
    <cfRule type="cellIs" dxfId="221" priority="52" operator="greaterThan">
      <formula>0.1</formula>
    </cfRule>
    <cfRule type="cellIs" dxfId="220" priority="51" operator="lessThan">
      <formula>-0.1</formula>
    </cfRule>
  </conditionalFormatting>
  <conditionalFormatting sqref="I1">
    <cfRule type="cellIs" dxfId="219" priority="69" operator="lessThan">
      <formula>-0.1</formula>
    </cfRule>
    <cfRule type="cellIs" dxfId="218" priority="70" operator="greaterThan">
      <formula>0.1</formula>
    </cfRule>
  </conditionalFormatting>
  <conditionalFormatting sqref="I4:I20">
    <cfRule type="cellIs" dxfId="217" priority="48" operator="greaterThan">
      <formula>0.1</formula>
    </cfRule>
    <cfRule type="cellIs" dxfId="216" priority="47" operator="lessThan">
      <formula>-0.1</formula>
    </cfRule>
  </conditionalFormatting>
  <conditionalFormatting sqref="I22:I23">
    <cfRule type="cellIs" dxfId="215" priority="78" operator="greaterThan">
      <formula>0.1</formula>
    </cfRule>
    <cfRule type="cellIs" dxfId="214" priority="77" operator="lessThan">
      <formula>-0.1</formula>
    </cfRule>
  </conditionalFormatting>
  <conditionalFormatting sqref="I25:I31 I33">
    <cfRule type="cellIs" dxfId="213" priority="75" operator="lessThan">
      <formula>-0.1</formula>
    </cfRule>
    <cfRule type="cellIs" dxfId="212" priority="76" operator="greaterThan">
      <formula>0.1</formula>
    </cfRule>
  </conditionalFormatting>
  <conditionalFormatting sqref="I35:I45">
    <cfRule type="cellIs" dxfId="211" priority="73" operator="lessThan">
      <formula>-0.1</formula>
    </cfRule>
    <cfRule type="cellIs" dxfId="210" priority="74" operator="greaterThan">
      <formula>0.1</formula>
    </cfRule>
  </conditionalFormatting>
  <conditionalFormatting sqref="I49">
    <cfRule type="cellIs" dxfId="209" priority="71" operator="lessThan">
      <formula>-0.1</formula>
    </cfRule>
    <cfRule type="cellIs" dxfId="208" priority="72" operator="greaterThan">
      <formula>0.1</formula>
    </cfRule>
  </conditionalFormatting>
  <conditionalFormatting sqref="K1">
    <cfRule type="cellIs" dxfId="207" priority="109" operator="lessThan">
      <formula>-0.1</formula>
    </cfRule>
    <cfRule type="cellIs" dxfId="206" priority="110" operator="greaterThan">
      <formula>0.1</formula>
    </cfRule>
  </conditionalFormatting>
  <conditionalFormatting sqref="K4:K20">
    <cfRule type="cellIs" dxfId="205" priority="45" operator="lessThan">
      <formula>-0.1</formula>
    </cfRule>
    <cfRule type="cellIs" dxfId="204" priority="46" operator="greaterThan">
      <formula>0.1</formula>
    </cfRule>
  </conditionalFormatting>
  <conditionalFormatting sqref="K22:K23">
    <cfRule type="cellIs" dxfId="203" priority="120" operator="greaterThan">
      <formula>0.1</formula>
    </cfRule>
    <cfRule type="cellIs" dxfId="202" priority="119" operator="lessThan">
      <formula>-0.1</formula>
    </cfRule>
  </conditionalFormatting>
  <conditionalFormatting sqref="K25:K31 K33">
    <cfRule type="cellIs" dxfId="201" priority="117" operator="lessThan">
      <formula>-0.1</formula>
    </cfRule>
    <cfRule type="cellIs" dxfId="200" priority="118" operator="greaterThan">
      <formula>0.1</formula>
    </cfRule>
  </conditionalFormatting>
  <conditionalFormatting sqref="K35:K45">
    <cfRule type="cellIs" dxfId="199" priority="115" operator="lessThan">
      <formula>-0.1</formula>
    </cfRule>
    <cfRule type="cellIs" dxfId="198" priority="116" operator="greaterThan">
      <formula>0.1</formula>
    </cfRule>
  </conditionalFormatting>
  <conditionalFormatting sqref="K49">
    <cfRule type="cellIs" dxfId="197" priority="111" operator="lessThan">
      <formula>-0.1</formula>
    </cfRule>
    <cfRule type="cellIs" dxfId="196" priority="112" operator="greaterThan">
      <formula>0.1</formula>
    </cfRule>
  </conditionalFormatting>
  <conditionalFormatting sqref="M1">
    <cfRule type="cellIs" dxfId="195" priority="124" operator="greaterThan">
      <formula>0.1</formula>
    </cfRule>
    <cfRule type="cellIs" dxfId="194" priority="123" operator="lessThan">
      <formula>-0.1</formula>
    </cfRule>
  </conditionalFormatting>
  <conditionalFormatting sqref="M4:M20">
    <cfRule type="cellIs" dxfId="193" priority="43" operator="lessThan">
      <formula>-0.1</formula>
    </cfRule>
    <cfRule type="cellIs" dxfId="192" priority="44" operator="greaterThan">
      <formula>0.1</formula>
    </cfRule>
  </conditionalFormatting>
  <conditionalFormatting sqref="M22:M23">
    <cfRule type="cellIs" dxfId="191" priority="129" operator="lessThan">
      <formula>-0.1</formula>
    </cfRule>
    <cfRule type="cellIs" dxfId="190" priority="130" operator="greaterThan">
      <formula>0.1</formula>
    </cfRule>
  </conditionalFormatting>
  <conditionalFormatting sqref="M25:M31 M33">
    <cfRule type="cellIs" dxfId="189" priority="128" operator="greaterThan">
      <formula>0.1</formula>
    </cfRule>
    <cfRule type="cellIs" dxfId="188" priority="127" operator="lessThan">
      <formula>-0.1</formula>
    </cfRule>
  </conditionalFormatting>
  <conditionalFormatting sqref="M35:M45">
    <cfRule type="cellIs" dxfId="187" priority="126" operator="greaterThan">
      <formula>0.1</formula>
    </cfRule>
    <cfRule type="cellIs" dxfId="186" priority="125" operator="lessThan">
      <formula>-0.1</formula>
    </cfRule>
  </conditionalFormatting>
  <conditionalFormatting sqref="M49">
    <cfRule type="cellIs" dxfId="185" priority="122" operator="greaterThan">
      <formula>0.1</formula>
    </cfRule>
    <cfRule type="cellIs" dxfId="184" priority="121" operator="lessThan">
      <formula>-0.1</formula>
    </cfRule>
  </conditionalFormatting>
  <conditionalFormatting sqref="O1">
    <cfRule type="cellIs" dxfId="183" priority="141" operator="lessThan">
      <formula>-0.1</formula>
    </cfRule>
    <cfRule type="cellIs" dxfId="182" priority="142" operator="greaterThan">
      <formula>0.1</formula>
    </cfRule>
  </conditionalFormatting>
  <conditionalFormatting sqref="O4:O20">
    <cfRule type="cellIs" dxfId="181" priority="41" operator="lessThan">
      <formula>-0.1</formula>
    </cfRule>
    <cfRule type="cellIs" dxfId="180" priority="42" operator="greaterThan">
      <formula>0.1</formula>
    </cfRule>
  </conditionalFormatting>
  <conditionalFormatting sqref="O22:O23">
    <cfRule type="cellIs" dxfId="179" priority="147" operator="lessThan">
      <formula>-0.1</formula>
    </cfRule>
    <cfRule type="cellIs" dxfId="178" priority="148" operator="greaterThan">
      <formula>0.1</formula>
    </cfRule>
  </conditionalFormatting>
  <conditionalFormatting sqref="O25:O31 O33">
    <cfRule type="cellIs" dxfId="177" priority="145" operator="lessThan">
      <formula>-0.1</formula>
    </cfRule>
    <cfRule type="cellIs" dxfId="176" priority="146" operator="greaterThan">
      <formula>0.1</formula>
    </cfRule>
  </conditionalFormatting>
  <conditionalFormatting sqref="O35:O45">
    <cfRule type="cellIs" dxfId="175" priority="143" operator="lessThan">
      <formula>-0.1</formula>
    </cfRule>
    <cfRule type="cellIs" dxfId="174" priority="144" operator="greaterThan">
      <formula>0.1</formula>
    </cfRule>
  </conditionalFormatting>
  <conditionalFormatting sqref="O49">
    <cfRule type="cellIs" dxfId="173" priority="140" operator="greaterThan">
      <formula>0.1</formula>
    </cfRule>
    <cfRule type="cellIs" dxfId="172" priority="139" operator="lessThan">
      <formula>-0.1</formula>
    </cfRule>
  </conditionalFormatting>
  <conditionalFormatting sqref="Q1">
    <cfRule type="cellIs" dxfId="171" priority="179" operator="lessThan">
      <formula>-0.1</formula>
    </cfRule>
    <cfRule type="cellIs" dxfId="170" priority="180" operator="greaterThan">
      <formula>0.1</formula>
    </cfRule>
  </conditionalFormatting>
  <conditionalFormatting sqref="Q4:Q20">
    <cfRule type="cellIs" dxfId="169" priority="39" operator="lessThan">
      <formula>-0.1</formula>
    </cfRule>
    <cfRule type="cellIs" dxfId="168" priority="40" operator="greaterThan">
      <formula>0.1</formula>
    </cfRule>
  </conditionalFormatting>
  <conditionalFormatting sqref="Q22:Q23">
    <cfRule type="cellIs" dxfId="167" priority="186" operator="greaterThan">
      <formula>0.1</formula>
    </cfRule>
    <cfRule type="cellIs" dxfId="166" priority="185" operator="lessThan">
      <formula>-0.1</formula>
    </cfRule>
  </conditionalFormatting>
  <conditionalFormatting sqref="Q25:Q31 Q33">
    <cfRule type="cellIs" dxfId="165" priority="184" operator="greaterThan">
      <formula>0.1</formula>
    </cfRule>
    <cfRule type="cellIs" dxfId="164" priority="183" operator="lessThan">
      <formula>-0.1</formula>
    </cfRule>
  </conditionalFormatting>
  <conditionalFormatting sqref="Q35:Q45">
    <cfRule type="cellIs" dxfId="163" priority="181" operator="lessThan">
      <formula>-0.1</formula>
    </cfRule>
    <cfRule type="cellIs" dxfId="162" priority="182" operator="greaterThan">
      <formula>0.1</formula>
    </cfRule>
  </conditionalFormatting>
  <conditionalFormatting sqref="Q49">
    <cfRule type="cellIs" dxfId="161" priority="177" operator="lessThan">
      <formula>-0.1</formula>
    </cfRule>
    <cfRule type="cellIs" dxfId="160" priority="178" operator="greaterThan">
      <formula>0.1</formula>
    </cfRule>
  </conditionalFormatting>
  <conditionalFormatting sqref="S1 S25:S30 S33">
    <cfRule type="cellIs" dxfId="159" priority="304" operator="greaterThan">
      <formula>0.1</formula>
    </cfRule>
    <cfRule type="cellIs" dxfId="158" priority="303" operator="lessThan">
      <formula>-0.1</formula>
    </cfRule>
  </conditionalFormatting>
  <conditionalFormatting sqref="S3:S20">
    <cfRule type="cellIs" dxfId="157" priority="38" operator="greaterThan">
      <formula>0.1</formula>
    </cfRule>
    <cfRule type="cellIs" dxfId="156" priority="37" operator="lessThan">
      <formula>-0.1</formula>
    </cfRule>
  </conditionalFormatting>
  <conditionalFormatting sqref="S22:S23">
    <cfRule type="cellIs" dxfId="155" priority="306" operator="greaterThan">
      <formula>0.1</formula>
    </cfRule>
    <cfRule type="cellIs" dxfId="154" priority="305" operator="lessThan">
      <formula>-0.1</formula>
    </cfRule>
  </conditionalFormatting>
  <conditionalFormatting sqref="S35:S45">
    <cfRule type="cellIs" dxfId="153" priority="301" operator="lessThan">
      <formula>-0.1</formula>
    </cfRule>
    <cfRule type="cellIs" dxfId="152" priority="302" operator="greaterThan">
      <formula>0.1</formula>
    </cfRule>
  </conditionalFormatting>
  <conditionalFormatting sqref="S49">
    <cfRule type="cellIs" dxfId="151" priority="292" operator="greaterThan">
      <formula>0.1</formula>
    </cfRule>
    <cfRule type="cellIs" dxfId="150" priority="291" operator="lessThan">
      <formula>-0.1</formula>
    </cfRule>
  </conditionalFormatting>
  <conditionalFormatting sqref="U1">
    <cfRule type="cellIs" dxfId="149" priority="310" operator="greaterThan">
      <formula>0.1</formula>
    </cfRule>
    <cfRule type="cellIs" dxfId="148" priority="309" operator="lessThan">
      <formula>-0.1</formula>
    </cfRule>
  </conditionalFormatting>
  <conditionalFormatting sqref="U3:U20">
    <cfRule type="cellIs" dxfId="147" priority="35" operator="lessThan">
      <formula>-0.1</formula>
    </cfRule>
    <cfRule type="cellIs" dxfId="146" priority="36" operator="greaterThan">
      <formula>0.1</formula>
    </cfRule>
  </conditionalFormatting>
  <conditionalFormatting sqref="U22:U23">
    <cfRule type="cellIs" dxfId="145" priority="227" operator="lessThan">
      <formula>-0.1</formula>
    </cfRule>
    <cfRule type="cellIs" dxfId="144" priority="228" operator="greaterThan">
      <formula>0.1</formula>
    </cfRule>
  </conditionalFormatting>
  <conditionalFormatting sqref="U25:U30 U33">
    <cfRule type="cellIs" dxfId="143" priority="225" operator="lessThan">
      <formula>-0.1</formula>
    </cfRule>
    <cfRule type="cellIs" dxfId="142" priority="226" operator="greaterThan">
      <formula>0.1</formula>
    </cfRule>
  </conditionalFormatting>
  <conditionalFormatting sqref="U35:U45">
    <cfRule type="cellIs" dxfId="141" priority="223" operator="lessThan">
      <formula>-0.1</formula>
    </cfRule>
    <cfRule type="cellIs" dxfId="140" priority="224" operator="greaterThan">
      <formula>0.1</formula>
    </cfRule>
  </conditionalFormatting>
  <conditionalFormatting sqref="U49">
    <cfRule type="cellIs" dxfId="139" priority="294" operator="greaterThan">
      <formula>0.1</formula>
    </cfRule>
    <cfRule type="cellIs" dxfId="138" priority="293" operator="lessThan">
      <formula>-0.1</formula>
    </cfRule>
  </conditionalFormatting>
  <conditionalFormatting sqref="W1">
    <cfRule type="cellIs" dxfId="137" priority="315" operator="lessThan">
      <formula>-0.1</formula>
    </cfRule>
    <cfRule type="cellIs" dxfId="136" priority="316" operator="greaterThan">
      <formula>0.1</formula>
    </cfRule>
  </conditionalFormatting>
  <conditionalFormatting sqref="W3:W20">
    <cfRule type="cellIs" dxfId="135" priority="33" operator="lessThan">
      <formula>-0.1</formula>
    </cfRule>
    <cfRule type="cellIs" dxfId="134" priority="34" operator="greaterThan">
      <formula>0.1</formula>
    </cfRule>
  </conditionalFormatting>
  <conditionalFormatting sqref="W22:W23">
    <cfRule type="cellIs" dxfId="133" priority="221" operator="lessThan">
      <formula>-0.1</formula>
    </cfRule>
    <cfRule type="cellIs" dxfId="132" priority="222" operator="greaterThan">
      <formula>0.1</formula>
    </cfRule>
  </conditionalFormatting>
  <conditionalFormatting sqref="W25:W30 W33">
    <cfRule type="cellIs" dxfId="131" priority="219" operator="lessThan">
      <formula>-0.1</formula>
    </cfRule>
    <cfRule type="cellIs" dxfId="130" priority="220" operator="greaterThan">
      <formula>0.1</formula>
    </cfRule>
  </conditionalFormatting>
  <conditionalFormatting sqref="W35:W45">
    <cfRule type="cellIs" dxfId="129" priority="218" operator="greaterThan">
      <formula>0.1</formula>
    </cfRule>
    <cfRule type="cellIs" dxfId="128" priority="217" operator="lessThan">
      <formula>-0.1</formula>
    </cfRule>
  </conditionalFormatting>
  <conditionalFormatting sqref="W49">
    <cfRule type="cellIs" dxfId="127" priority="296" operator="greaterThan">
      <formula>0.1</formula>
    </cfRule>
    <cfRule type="cellIs" dxfId="126" priority="295" operator="lessThan">
      <formula>-0.1</formula>
    </cfRule>
  </conditionalFormatting>
  <conditionalFormatting sqref="Y1">
    <cfRule type="cellIs" dxfId="125" priority="327" operator="lessThan">
      <formula>-0.1</formula>
    </cfRule>
    <cfRule type="cellIs" dxfId="124" priority="328" operator="greaterThan">
      <formula>0.1</formula>
    </cfRule>
  </conditionalFormatting>
  <conditionalFormatting sqref="Y3:Y20">
    <cfRule type="cellIs" dxfId="123" priority="31" operator="lessThan">
      <formula>-0.1</formula>
    </cfRule>
    <cfRule type="cellIs" dxfId="122" priority="32" operator="greaterThan">
      <formula>0.1</formula>
    </cfRule>
  </conditionalFormatting>
  <conditionalFormatting sqref="Y22:Y23">
    <cfRule type="cellIs" dxfId="121" priority="216" operator="greaterThan">
      <formula>0.1</formula>
    </cfRule>
    <cfRule type="cellIs" dxfId="120" priority="215" operator="lessThan">
      <formula>-0.1</formula>
    </cfRule>
  </conditionalFormatting>
  <conditionalFormatting sqref="Y25:Y30 Y33">
    <cfRule type="cellIs" dxfId="119" priority="213" operator="lessThan">
      <formula>-0.1</formula>
    </cfRule>
    <cfRule type="cellIs" dxfId="118" priority="214" operator="greaterThan">
      <formula>0.1</formula>
    </cfRule>
  </conditionalFormatting>
  <conditionalFormatting sqref="Y35:Y45">
    <cfRule type="cellIs" dxfId="117" priority="212" operator="greaterThan">
      <formula>0.1</formula>
    </cfRule>
    <cfRule type="cellIs" dxfId="116" priority="211" operator="lessThan">
      <formula>-0.1</formula>
    </cfRule>
  </conditionalFormatting>
  <conditionalFormatting sqref="Y49">
    <cfRule type="cellIs" dxfId="115" priority="297" operator="lessThan">
      <formula>-0.1</formula>
    </cfRule>
    <cfRule type="cellIs" dxfId="114" priority="298" operator="greaterThan">
      <formula>0.1</formula>
    </cfRule>
  </conditionalFormatting>
  <conditionalFormatting sqref="AA1">
    <cfRule type="cellIs" dxfId="113" priority="345" operator="lessThan">
      <formula>-0.1</formula>
    </cfRule>
    <cfRule type="cellIs" dxfId="112" priority="346" operator="greaterThan">
      <formula>0.1</formula>
    </cfRule>
  </conditionalFormatting>
  <conditionalFormatting sqref="AA3:AA20">
    <cfRule type="cellIs" dxfId="111" priority="30" operator="greaterThan">
      <formula>0.1</formula>
    </cfRule>
    <cfRule type="cellIs" dxfId="110" priority="29" operator="lessThan">
      <formula>-0.1</formula>
    </cfRule>
  </conditionalFormatting>
  <conditionalFormatting sqref="AA22:AA23">
    <cfRule type="cellIs" dxfId="109" priority="210" operator="greaterThan">
      <formula>0.1</formula>
    </cfRule>
    <cfRule type="cellIs" dxfId="108" priority="209" operator="lessThan">
      <formula>-0.1</formula>
    </cfRule>
  </conditionalFormatting>
  <conditionalFormatting sqref="AA25:AA30 AA33">
    <cfRule type="cellIs" dxfId="107" priority="208" operator="greaterThan">
      <formula>0.1</formula>
    </cfRule>
    <cfRule type="cellIs" dxfId="106" priority="207" operator="lessThan">
      <formula>-0.1</formula>
    </cfRule>
  </conditionalFormatting>
  <conditionalFormatting sqref="AA35:AA45">
    <cfRule type="cellIs" dxfId="105" priority="206" operator="greaterThan">
      <formula>0.1</formula>
    </cfRule>
    <cfRule type="cellIs" dxfId="104" priority="205" operator="lessThan">
      <formula>-0.1</formula>
    </cfRule>
  </conditionalFormatting>
  <conditionalFormatting sqref="AA49 AC49 AE49 AG49">
    <cfRule type="cellIs" dxfId="103" priority="300" operator="greaterThan">
      <formula>0.1</formula>
    </cfRule>
    <cfRule type="cellIs" dxfId="102" priority="299" operator="lessThan">
      <formula>-0.1</formula>
    </cfRule>
  </conditionalFormatting>
  <conditionalFormatting sqref="AC1">
    <cfRule type="cellIs" dxfId="101" priority="372" operator="greaterThan">
      <formula>0.1</formula>
    </cfRule>
    <cfRule type="cellIs" dxfId="100" priority="371" operator="lessThan">
      <formula>-0.1</formula>
    </cfRule>
  </conditionalFormatting>
  <conditionalFormatting sqref="AC3:AC20">
    <cfRule type="cellIs" dxfId="99" priority="28" operator="greaterThan">
      <formula>0.1</formula>
    </cfRule>
    <cfRule type="cellIs" dxfId="98" priority="27" operator="lessThan">
      <formula>-0.1</formula>
    </cfRule>
  </conditionalFormatting>
  <conditionalFormatting sqref="AC22:AC23">
    <cfRule type="cellIs" dxfId="97" priority="203" operator="lessThan">
      <formula>-0.1</formula>
    </cfRule>
    <cfRule type="cellIs" dxfId="96" priority="204" operator="greaterThan">
      <formula>0.1</formula>
    </cfRule>
  </conditionalFormatting>
  <conditionalFormatting sqref="AC25:AC30 AC33">
    <cfRule type="cellIs" dxfId="95" priority="202" operator="greaterThan">
      <formula>0.1</formula>
    </cfRule>
    <cfRule type="cellIs" dxfId="94" priority="201" operator="lessThan">
      <formula>-0.1</formula>
    </cfRule>
  </conditionalFormatting>
  <conditionalFormatting sqref="AC35:AC45">
    <cfRule type="cellIs" dxfId="93" priority="200" operator="greaterThan">
      <formula>0.1</formula>
    </cfRule>
    <cfRule type="cellIs" dxfId="92" priority="199" operator="lessThan">
      <formula>-0.1</formula>
    </cfRule>
  </conditionalFormatting>
  <conditionalFormatting sqref="AE1">
    <cfRule type="cellIs" dxfId="91" priority="357" operator="lessThan">
      <formula>-0.1</formula>
    </cfRule>
    <cfRule type="cellIs" dxfId="90" priority="358" operator="greaterThan">
      <formula>0.1</formula>
    </cfRule>
  </conditionalFormatting>
  <conditionalFormatting sqref="AE3:AE20">
    <cfRule type="cellIs" dxfId="89" priority="25" operator="lessThan">
      <formula>-0.1</formula>
    </cfRule>
    <cfRule type="cellIs" dxfId="88" priority="26" operator="greaterThan">
      <formula>0.1</formula>
    </cfRule>
  </conditionalFormatting>
  <conditionalFormatting sqref="AE22:AE23">
    <cfRule type="cellIs" dxfId="87" priority="198" operator="greaterThan">
      <formula>0.1</formula>
    </cfRule>
    <cfRule type="cellIs" dxfId="86" priority="197" operator="lessThan">
      <formula>-0.1</formula>
    </cfRule>
  </conditionalFormatting>
  <conditionalFormatting sqref="AE25:AE30 AE33">
    <cfRule type="cellIs" dxfId="85" priority="195" operator="lessThan">
      <formula>-0.1</formula>
    </cfRule>
    <cfRule type="cellIs" dxfId="84" priority="196" operator="greaterThan">
      <formula>0.1</formula>
    </cfRule>
  </conditionalFormatting>
  <conditionalFormatting sqref="AE35:AE45">
    <cfRule type="cellIs" dxfId="83" priority="193" operator="lessThan">
      <formula>-0.1</formula>
    </cfRule>
    <cfRule type="cellIs" dxfId="82" priority="194" operator="greaterThan">
      <formula>0.1</formula>
    </cfRule>
  </conditionalFormatting>
  <conditionalFormatting sqref="AG1">
    <cfRule type="cellIs" dxfId="81" priority="351" operator="lessThan">
      <formula>-0.1</formula>
    </cfRule>
    <cfRule type="cellIs" dxfId="80" priority="352" operator="greaterThan">
      <formula>0.1</formula>
    </cfRule>
  </conditionalFormatting>
  <conditionalFormatting sqref="AG3:AG20">
    <cfRule type="cellIs" dxfId="79" priority="23" operator="lessThan">
      <formula>-0.1</formula>
    </cfRule>
    <cfRule type="cellIs" dxfId="78" priority="24" operator="greaterThan">
      <formula>0.1</formula>
    </cfRule>
  </conditionalFormatting>
  <conditionalFormatting sqref="AG22:AG23">
    <cfRule type="cellIs" dxfId="77" priority="137" operator="lessThan">
      <formula>-0.1</formula>
    </cfRule>
    <cfRule type="cellIs" dxfId="76" priority="138" operator="greaterThan">
      <formula>0.1</formula>
    </cfRule>
  </conditionalFormatting>
  <conditionalFormatting sqref="AG25:AG30">
    <cfRule type="cellIs" dxfId="75" priority="135" operator="lessThan">
      <formula>-0.1</formula>
    </cfRule>
    <cfRule type="cellIs" dxfId="74" priority="136" operator="greaterThan">
      <formula>0.1</formula>
    </cfRule>
  </conditionalFormatting>
  <conditionalFormatting sqref="AG33:AG45">
    <cfRule type="cellIs" dxfId="73" priority="131" operator="lessThan">
      <formula>-0.1</formula>
    </cfRule>
    <cfRule type="cellIs" dxfId="72" priority="132" operator="greaterThan">
      <formula>0.1</formula>
    </cfRule>
  </conditionalFormatting>
  <conditionalFormatting sqref="AI1">
    <cfRule type="cellIs" dxfId="71" priority="97" operator="lessThan">
      <formula>-0.1</formula>
    </cfRule>
    <cfRule type="cellIs" dxfId="70" priority="98" operator="greaterThan">
      <formula>0.1</formula>
    </cfRule>
  </conditionalFormatting>
  <conditionalFormatting sqref="AI3:AI20">
    <cfRule type="cellIs" dxfId="69" priority="21" operator="lessThan">
      <formula>-0.1</formula>
    </cfRule>
    <cfRule type="cellIs" dxfId="68" priority="22" operator="greaterThan">
      <formula>0.1</formula>
    </cfRule>
  </conditionalFormatting>
  <conditionalFormatting sqref="AI22:AI23">
    <cfRule type="cellIs" dxfId="67" priority="108" operator="greaterThan">
      <formula>0.1</formula>
    </cfRule>
    <cfRule type="cellIs" dxfId="66" priority="107" operator="lessThan">
      <formula>-0.1</formula>
    </cfRule>
  </conditionalFormatting>
  <conditionalFormatting sqref="AI25:AI30">
    <cfRule type="cellIs" dxfId="65" priority="105" operator="lessThan">
      <formula>-0.1</formula>
    </cfRule>
    <cfRule type="cellIs" dxfId="64" priority="106" operator="greaterThan">
      <formula>0.1</formula>
    </cfRule>
  </conditionalFormatting>
  <conditionalFormatting sqref="AI33:AI45">
    <cfRule type="cellIs" dxfId="63" priority="101" operator="lessThan">
      <formula>-0.1</formula>
    </cfRule>
    <cfRule type="cellIs" dxfId="62" priority="102" operator="greaterThan">
      <formula>0.1</formula>
    </cfRule>
  </conditionalFormatting>
  <conditionalFormatting sqref="AI49">
    <cfRule type="cellIs" dxfId="61" priority="100" operator="greaterThan">
      <formula>0.1</formula>
    </cfRule>
    <cfRule type="cellIs" dxfId="60" priority="99" operator="lessThan">
      <formula>-0.1</formula>
    </cfRule>
  </conditionalFormatting>
  <conditionalFormatting sqref="AK1 AK25:AK30">
    <cfRule type="cellIs" dxfId="59" priority="288" operator="greaterThan">
      <formula>0.1</formula>
    </cfRule>
    <cfRule type="cellIs" dxfId="58" priority="287" operator="lessThan">
      <formula>-0.1</formula>
    </cfRule>
  </conditionalFormatting>
  <conditionalFormatting sqref="AK3:AK20">
    <cfRule type="cellIs" dxfId="57" priority="20" operator="greaterThan">
      <formula>0.1</formula>
    </cfRule>
    <cfRule type="cellIs" dxfId="56" priority="19" operator="lessThan">
      <formula>-0.1</formula>
    </cfRule>
  </conditionalFormatting>
  <conditionalFormatting sqref="AK22:AK23">
    <cfRule type="cellIs" dxfId="55" priority="290" operator="greaterThan">
      <formula>0.1</formula>
    </cfRule>
    <cfRule type="cellIs" dxfId="54" priority="289" operator="lessThan">
      <formula>-0.1</formula>
    </cfRule>
  </conditionalFormatting>
  <conditionalFormatting sqref="AK33:AK45">
    <cfRule type="cellIs" dxfId="53" priority="283" operator="lessThan">
      <formula>-0.1</formula>
    </cfRule>
    <cfRule type="cellIs" dxfId="52" priority="284" operator="greaterThan">
      <formula>0.1</formula>
    </cfRule>
  </conditionalFormatting>
  <conditionalFormatting sqref="AK49">
    <cfRule type="cellIs" dxfId="51" priority="280" operator="greaterThan">
      <formula>0.1</formula>
    </cfRule>
    <cfRule type="cellIs" dxfId="50" priority="279" operator="lessThan">
      <formula>-0.1</formula>
    </cfRule>
  </conditionalFormatting>
  <conditionalFormatting sqref="AM1 AM25:AM30">
    <cfRule type="cellIs" dxfId="49" priority="275" operator="lessThan">
      <formula>-0.1</formula>
    </cfRule>
    <cfRule type="cellIs" dxfId="48" priority="276" operator="greaterThan">
      <formula>0.1</formula>
    </cfRule>
  </conditionalFormatting>
  <conditionalFormatting sqref="AM3:AM20">
    <cfRule type="cellIs" dxfId="47" priority="17" operator="lessThan">
      <formula>-0.1</formula>
    </cfRule>
    <cfRule type="cellIs" dxfId="46" priority="18" operator="greaterThan">
      <formula>0.1</formula>
    </cfRule>
  </conditionalFormatting>
  <conditionalFormatting sqref="AM22:AM23">
    <cfRule type="cellIs" dxfId="45" priority="277" operator="lessThan">
      <formula>-0.1</formula>
    </cfRule>
    <cfRule type="cellIs" dxfId="44" priority="278" operator="greaterThan">
      <formula>0.1</formula>
    </cfRule>
  </conditionalFormatting>
  <conditionalFormatting sqref="AM33:AM45">
    <cfRule type="cellIs" dxfId="43" priority="271" operator="lessThan">
      <formula>-0.1</formula>
    </cfRule>
    <cfRule type="cellIs" dxfId="42" priority="272" operator="greaterThan">
      <formula>0.1</formula>
    </cfRule>
  </conditionalFormatting>
  <conditionalFormatting sqref="AM49">
    <cfRule type="cellIs" dxfId="41" priority="269" operator="lessThan">
      <formula>-0.1</formula>
    </cfRule>
    <cfRule type="cellIs" dxfId="40" priority="270" operator="greaterThan">
      <formula>0.1</formula>
    </cfRule>
  </conditionalFormatting>
  <conditionalFormatting sqref="AO1 AO25:AO30">
    <cfRule type="cellIs" dxfId="39" priority="255" operator="lessThan">
      <formula>-0.1</formula>
    </cfRule>
    <cfRule type="cellIs" dxfId="38" priority="256" operator="greaterThan">
      <formula>0.1</formula>
    </cfRule>
  </conditionalFormatting>
  <conditionalFormatting sqref="AO3:AO20">
    <cfRule type="cellIs" dxfId="37" priority="15" operator="lessThan">
      <formula>-0.1</formula>
    </cfRule>
    <cfRule type="cellIs" dxfId="36" priority="16" operator="greaterThan">
      <formula>0.1</formula>
    </cfRule>
  </conditionalFormatting>
  <conditionalFormatting sqref="AO22:AO23">
    <cfRule type="cellIs" dxfId="35" priority="258" operator="greaterThan">
      <formula>0.1</formula>
    </cfRule>
    <cfRule type="cellIs" dxfId="34" priority="257" operator="lessThan">
      <formula>-0.1</formula>
    </cfRule>
  </conditionalFormatting>
  <conditionalFormatting sqref="AO33:AO45">
    <cfRule type="cellIs" dxfId="33" priority="251" operator="lessThan">
      <formula>-0.1</formula>
    </cfRule>
    <cfRule type="cellIs" dxfId="32" priority="252" operator="greaterThan">
      <formula>0.1</formula>
    </cfRule>
  </conditionalFormatting>
  <conditionalFormatting sqref="AO49">
    <cfRule type="cellIs" dxfId="31" priority="250" operator="greaterThan">
      <formula>0.1</formula>
    </cfRule>
    <cfRule type="cellIs" dxfId="30" priority="249" operator="lessThan">
      <formula>-0.1</formula>
    </cfRule>
  </conditionalFormatting>
  <conditionalFormatting sqref="AQ1 AQ25:AQ30">
    <cfRule type="cellIs" dxfId="29" priority="245" operator="lessThan">
      <formula>-0.1</formula>
    </cfRule>
    <cfRule type="cellIs" dxfId="28" priority="246" operator="greaterThan">
      <formula>0.1</formula>
    </cfRule>
  </conditionalFormatting>
  <conditionalFormatting sqref="AQ3:AQ20">
    <cfRule type="cellIs" dxfId="27" priority="14" operator="greaterThan">
      <formula>0.1</formula>
    </cfRule>
    <cfRule type="cellIs" dxfId="26" priority="13" operator="lessThan">
      <formula>-0.1</formula>
    </cfRule>
  </conditionalFormatting>
  <conditionalFormatting sqref="AQ22:AQ23">
    <cfRule type="cellIs" dxfId="25" priority="248" operator="greaterThan">
      <formula>0.1</formula>
    </cfRule>
    <cfRule type="cellIs" dxfId="24" priority="247" operator="lessThan">
      <formula>-0.1</formula>
    </cfRule>
  </conditionalFormatting>
  <conditionalFormatting sqref="AQ33:AQ45">
    <cfRule type="cellIs" dxfId="23" priority="242" operator="greaterThan">
      <formula>0.1</formula>
    </cfRule>
    <cfRule type="cellIs" dxfId="22" priority="241" operator="lessThan">
      <formula>-0.1</formula>
    </cfRule>
  </conditionalFormatting>
  <conditionalFormatting sqref="AQ49">
    <cfRule type="cellIs" dxfId="21" priority="240" operator="greaterThan">
      <formula>0.1</formula>
    </cfRule>
    <cfRule type="cellIs" dxfId="20" priority="239" operator="lessThan">
      <formula>-0.1</formula>
    </cfRule>
  </conditionalFormatting>
  <conditionalFormatting sqref="AS1 AS25:AS30">
    <cfRule type="cellIs" dxfId="19" priority="236" operator="greaterThan">
      <formula>0.1</formula>
    </cfRule>
    <cfRule type="cellIs" dxfId="18" priority="235" operator="lessThan">
      <formula>-0.1</formula>
    </cfRule>
  </conditionalFormatting>
  <conditionalFormatting sqref="AS3:AS20">
    <cfRule type="cellIs" dxfId="17" priority="12" operator="greaterThan">
      <formula>0.1</formula>
    </cfRule>
    <cfRule type="cellIs" dxfId="16" priority="11" operator="lessThan">
      <formula>-0.1</formula>
    </cfRule>
  </conditionalFormatting>
  <conditionalFormatting sqref="AS22:AS23">
    <cfRule type="cellIs" dxfId="15" priority="238" operator="greaterThan">
      <formula>0.1</formula>
    </cfRule>
    <cfRule type="cellIs" dxfId="14" priority="237" operator="lessThan">
      <formula>-0.1</formula>
    </cfRule>
  </conditionalFormatting>
  <conditionalFormatting sqref="AS33:AS45">
    <cfRule type="cellIs" dxfId="13" priority="231" operator="lessThan">
      <formula>-0.1</formula>
    </cfRule>
    <cfRule type="cellIs" dxfId="12" priority="232" operator="greaterThan">
      <formula>0.1</formula>
    </cfRule>
  </conditionalFormatting>
  <conditionalFormatting sqref="AS49">
    <cfRule type="cellIs" dxfId="11" priority="229" operator="lessThan">
      <formula>-0.1</formula>
    </cfRule>
    <cfRule type="cellIs" dxfId="10" priority="230" operator="greaterThan">
      <formula>0.1</formula>
    </cfRule>
  </conditionalFormatting>
  <pageMargins left="0.70866141732283472" right="0.70866141732283472" top="0.74803149606299213" bottom="0.74803149606299213" header="0.31496062992125984" footer="0.31496062992125984"/>
  <pageSetup paperSize="9" scale="74" fitToWidth="0" orientation="landscape" r:id="rId1"/>
  <colBreaks count="4" manualBreakCount="4">
    <brk id="9" max="43" man="1"/>
    <brk id="17" max="43" man="1"/>
    <brk id="25" max="43" man="1"/>
    <brk id="33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C7D76-9040-4016-A65D-DF35E1672DB7}">
  <sheetPr>
    <tabColor theme="7"/>
    <pageSetUpPr fitToPage="1"/>
  </sheetPr>
  <dimension ref="A1:BD34"/>
  <sheetViews>
    <sheetView view="pageBreakPreview" zoomScale="115" zoomScaleNormal="85" zoomScaleSheetLayoutView="115" workbookViewId="0">
      <pane xSplit="2" ySplit="1" topLeftCell="C16" activePane="bottomRight" state="frozen"/>
      <selection pane="topRight" activeCell="B1" sqref="B1"/>
      <selection pane="bottomLeft" activeCell="A2" sqref="A2"/>
      <selection pane="bottomRight" activeCell="B33" sqref="B33"/>
    </sheetView>
  </sheetViews>
  <sheetFormatPr defaultColWidth="8.69921875" defaultRowHeight="16.2" customHeight="1" x14ac:dyDescent="0.4"/>
  <cols>
    <col min="1" max="1" width="13.8984375" style="15" bestFit="1" customWidth="1"/>
    <col min="2" max="2" width="17.59765625" style="34" customWidth="1"/>
    <col min="3" max="3" width="10.69921875" style="138" customWidth="1"/>
    <col min="4" max="4" width="6.3984375" style="34" customWidth="1"/>
    <col min="5" max="5" width="10.69921875" style="138" customWidth="1"/>
    <col min="6" max="6" width="6.3984375" style="34" customWidth="1"/>
    <col min="7" max="7" width="12.5" style="138" customWidth="1"/>
    <col min="8" max="8" width="6.3984375" style="34" customWidth="1"/>
    <col min="9" max="9" width="12.8984375" style="132" customWidth="1"/>
    <col min="10" max="10" width="10.69921875" style="138" customWidth="1"/>
    <col min="11" max="11" width="6.3984375" style="34" customWidth="1"/>
    <col min="12" max="12" width="10.69921875" style="138" customWidth="1"/>
    <col min="13" max="13" width="6.3984375" style="34" customWidth="1"/>
    <col min="14" max="14" width="10.69921875" style="138" customWidth="1"/>
    <col min="15" max="15" width="6.3984375" style="34" customWidth="1"/>
    <col min="16" max="16" width="10.69921875" style="138" customWidth="1"/>
    <col min="17" max="17" width="6.3984375" style="34" customWidth="1"/>
    <col min="18" max="18" width="12.8984375" style="132" bestFit="1" customWidth="1"/>
    <col min="19" max="19" width="9" style="132" customWidth="1"/>
    <col min="20" max="20" width="6.69921875" style="14" customWidth="1"/>
    <col min="21" max="21" width="9" style="132" customWidth="1"/>
    <col min="22" max="22" width="6.69921875" style="14" customWidth="1"/>
    <col min="23" max="23" width="9" style="114" customWidth="1"/>
    <col min="24" max="24" width="6.69921875" style="15" customWidth="1"/>
    <col min="25" max="25" width="9" style="132" customWidth="1"/>
    <col min="26" max="26" width="6.69921875" style="15" customWidth="1"/>
    <col min="27" max="27" width="9.8984375" style="132" bestFit="1" customWidth="1"/>
    <col min="28" max="28" width="9.09765625" style="114" customWidth="1"/>
    <col min="29" max="29" width="6.69921875" style="14" customWidth="1"/>
    <col min="30" max="30" width="9" style="132" customWidth="1"/>
    <col min="31" max="31" width="6.69921875" style="14" customWidth="1"/>
    <col min="32" max="32" width="9" style="114" customWidth="1"/>
    <col min="33" max="33" width="6.69921875" style="15" customWidth="1"/>
    <col min="34" max="34" width="9" style="132" customWidth="1"/>
    <col min="35" max="35" width="6.69921875" style="15" customWidth="1"/>
    <col min="36" max="36" width="9.8984375" style="132" bestFit="1" customWidth="1"/>
    <col min="37" max="37" width="9.09765625" style="114" customWidth="1"/>
    <col min="38" max="38" width="6.69921875" style="14" customWidth="1"/>
    <col min="39" max="39" width="9" style="132" customWidth="1"/>
    <col min="40" max="40" width="6.69921875" style="14" customWidth="1"/>
    <col min="41" max="41" width="9" style="114" customWidth="1"/>
    <col min="42" max="42" width="6.69921875" style="15" customWidth="1"/>
    <col min="43" max="43" width="9" style="132" customWidth="1"/>
    <col min="44" max="44" width="6.69921875" style="15" customWidth="1"/>
    <col min="45" max="45" width="9.8984375" style="132" bestFit="1" customWidth="1"/>
    <col min="46" max="46" width="9.09765625" style="114" customWidth="1"/>
    <col min="47" max="47" width="6.69921875" style="14" customWidth="1"/>
    <col min="48" max="48" width="9" style="132" customWidth="1"/>
    <col min="49" max="49" width="6.69921875" style="14" customWidth="1"/>
    <col min="50" max="50" width="9" style="114" customWidth="1"/>
    <col min="51" max="51" width="6.69921875" style="15" customWidth="1"/>
    <col min="52" max="52" width="9" style="132" customWidth="1"/>
    <col min="53" max="53" width="9.8984375" style="132" bestFit="1" customWidth="1"/>
    <col min="54" max="56" width="12" style="13" customWidth="1"/>
    <col min="57" max="16384" width="8.69921875" style="15"/>
  </cols>
  <sheetData>
    <row r="1" spans="1:56" s="147" customFormat="1" ht="16.2" customHeight="1" x14ac:dyDescent="0.4">
      <c r="A1" s="139" t="s">
        <v>157</v>
      </c>
      <c r="B1" s="140" t="s">
        <v>157</v>
      </c>
      <c r="C1" s="142" t="s">
        <v>197</v>
      </c>
      <c r="D1" s="143" t="s">
        <v>9</v>
      </c>
      <c r="E1" s="142" t="s">
        <v>30</v>
      </c>
      <c r="F1" s="143" t="s">
        <v>9</v>
      </c>
      <c r="G1" s="142" t="s">
        <v>29</v>
      </c>
      <c r="H1" s="143" t="s">
        <v>9</v>
      </c>
      <c r="I1" s="141">
        <v>2022</v>
      </c>
      <c r="J1" s="142" t="s">
        <v>28</v>
      </c>
      <c r="K1" s="143" t="s">
        <v>49</v>
      </c>
      <c r="L1" s="142" t="s">
        <v>27</v>
      </c>
      <c r="M1" s="143" t="s">
        <v>9</v>
      </c>
      <c r="N1" s="142" t="s">
        <v>26</v>
      </c>
      <c r="O1" s="143" t="s">
        <v>9</v>
      </c>
      <c r="P1" s="142" t="s">
        <v>25</v>
      </c>
      <c r="Q1" s="143" t="s">
        <v>9</v>
      </c>
      <c r="R1" s="141">
        <v>2021</v>
      </c>
      <c r="S1" s="142" t="s">
        <v>24</v>
      </c>
      <c r="T1" s="144" t="s">
        <v>9</v>
      </c>
      <c r="U1" s="142" t="s">
        <v>23</v>
      </c>
      <c r="V1" s="144" t="s">
        <v>9</v>
      </c>
      <c r="W1" s="142" t="s">
        <v>22</v>
      </c>
      <c r="X1" s="143" t="s">
        <v>9</v>
      </c>
      <c r="Y1" s="142" t="s">
        <v>21</v>
      </c>
      <c r="Z1" s="143" t="s">
        <v>9</v>
      </c>
      <c r="AA1" s="141">
        <v>2020</v>
      </c>
      <c r="AB1" s="142" t="s">
        <v>20</v>
      </c>
      <c r="AC1" s="145" t="s">
        <v>9</v>
      </c>
      <c r="AD1" s="142" t="s">
        <v>19</v>
      </c>
      <c r="AE1" s="144" t="s">
        <v>9</v>
      </c>
      <c r="AF1" s="142" t="s">
        <v>18</v>
      </c>
      <c r="AG1" s="143" t="s">
        <v>9</v>
      </c>
      <c r="AH1" s="142" t="s">
        <v>17</v>
      </c>
      <c r="AI1" s="143" t="s">
        <v>9</v>
      </c>
      <c r="AJ1" s="141">
        <v>2019</v>
      </c>
      <c r="AK1" s="142" t="s">
        <v>15</v>
      </c>
      <c r="AL1" s="145" t="s">
        <v>9</v>
      </c>
      <c r="AM1" s="142" t="s">
        <v>14</v>
      </c>
      <c r="AN1" s="144" t="s">
        <v>9</v>
      </c>
      <c r="AO1" s="142" t="s">
        <v>13</v>
      </c>
      <c r="AP1" s="143" t="s">
        <v>9</v>
      </c>
      <c r="AQ1" s="142" t="s">
        <v>12</v>
      </c>
      <c r="AR1" s="143" t="s">
        <v>9</v>
      </c>
      <c r="AS1" s="141">
        <v>2018</v>
      </c>
      <c r="AT1" s="142" t="s">
        <v>11</v>
      </c>
      <c r="AU1" s="145" t="s">
        <v>9</v>
      </c>
      <c r="AV1" s="142" t="s">
        <v>10</v>
      </c>
      <c r="AW1" s="144" t="s">
        <v>9</v>
      </c>
      <c r="AX1" s="142" t="s">
        <v>8</v>
      </c>
      <c r="AY1" s="143" t="s">
        <v>9</v>
      </c>
      <c r="AZ1" s="142" t="s">
        <v>6</v>
      </c>
      <c r="BA1" s="141">
        <v>2017</v>
      </c>
      <c r="BB1" s="146"/>
      <c r="BC1" s="146"/>
      <c r="BD1" s="146"/>
    </row>
    <row r="2" spans="1:56" ht="16.2" customHeight="1" x14ac:dyDescent="0.4">
      <c r="A2" s="26" t="s">
        <v>158</v>
      </c>
      <c r="B2" s="27" t="s">
        <v>159</v>
      </c>
      <c r="C2" s="130">
        <v>2533015.997</v>
      </c>
      <c r="D2" s="22">
        <f t="shared" ref="D2:D33" si="0">C2/E2-1</f>
        <v>3.931315837033944E-2</v>
      </c>
      <c r="E2" s="130">
        <v>2437201.8930000002</v>
      </c>
      <c r="F2" s="22">
        <f t="shared" ref="F2:F33" si="1">E2/G2-1</f>
        <v>0.1078066897245884</v>
      </c>
      <c r="G2" s="130">
        <v>2200024.531</v>
      </c>
      <c r="H2" s="22">
        <f>G2/J2-1</f>
        <v>5.4695381055940961E-2</v>
      </c>
      <c r="I2" s="133">
        <f t="shared" ref="I2:I33" si="2">SUM(J2,L2,N2,P2)</f>
        <v>10022963.778000001</v>
      </c>
      <c r="J2" s="130">
        <v>2085933.598</v>
      </c>
      <c r="K2" s="22">
        <f>J2/L2-1</f>
        <v>-0.26245270751728667</v>
      </c>
      <c r="L2" s="130">
        <v>2828203.18</v>
      </c>
      <c r="M2" s="22">
        <f>L2/N2-1</f>
        <v>0.11076717942353453</v>
      </c>
      <c r="N2" s="130">
        <f>2546211-40</f>
        <v>2546171</v>
      </c>
      <c r="O2" s="22">
        <f t="shared" ref="O2:O33" si="3">N2/P2-1</f>
        <v>-6.4327791166665094E-3</v>
      </c>
      <c r="P2" s="130">
        <v>2562656</v>
      </c>
      <c r="Q2" s="22">
        <f>P2/S2-1</f>
        <v>0.26121167380284471</v>
      </c>
      <c r="R2" s="133">
        <f t="shared" ref="R2:R8" si="4">S2+U2+W2+Y2</f>
        <v>9137445</v>
      </c>
      <c r="S2" s="130">
        <v>2031900</v>
      </c>
      <c r="T2" s="22">
        <f>S2/U2-1</f>
        <v>-0.16327450847164482</v>
      </c>
      <c r="U2" s="130">
        <v>2428395</v>
      </c>
      <c r="V2" s="22">
        <f>U2/W2-1</f>
        <v>3.3759441417978264E-2</v>
      </c>
      <c r="W2" s="134">
        <f>4677150-Y2</f>
        <v>2349091</v>
      </c>
      <c r="X2" s="22">
        <f>W2/Y2-1</f>
        <v>9.0341353032719063E-3</v>
      </c>
      <c r="Y2" s="130">
        <v>2328059</v>
      </c>
      <c r="Z2" s="22">
        <f>Y2/AB2-1</f>
        <v>-0.21160035653183384</v>
      </c>
      <c r="AA2" s="133">
        <v>8366648</v>
      </c>
      <c r="AB2" s="134">
        <f>AA2-AD2-AF2-AH2</f>
        <v>2952892</v>
      </c>
      <c r="AC2" s="149">
        <f>AB2/AD2-1</f>
        <v>0.90932785709713349</v>
      </c>
      <c r="AD2" s="130">
        <f>5413756-AH2-AF2</f>
        <v>1546561</v>
      </c>
      <c r="AE2" s="22">
        <f>AD2/AF2-1</f>
        <v>-0.35348250792908942</v>
      </c>
      <c r="AF2" s="134">
        <v>2392141</v>
      </c>
      <c r="AG2" s="22">
        <f>AF2/AH2-1</f>
        <v>0.62173113662279489</v>
      </c>
      <c r="AH2" s="130">
        <v>1475054</v>
      </c>
      <c r="AI2" s="22">
        <f t="shared" ref="AI2:AI33" si="5">AH2/AK2-1</f>
        <v>-0.31014507936314928</v>
      </c>
      <c r="AJ2" s="133">
        <v>7740024</v>
      </c>
      <c r="AK2" s="134">
        <f t="shared" ref="AK2:AK30" si="6">AJ2-AQ2-AO2-AM2</f>
        <v>2138209</v>
      </c>
      <c r="AL2" s="149">
        <f>AK2/AM2-1</f>
        <v>0.23973405723323982</v>
      </c>
      <c r="AM2" s="130">
        <v>1724732</v>
      </c>
      <c r="AN2" s="22">
        <f t="shared" ref="AN2:AN25" si="7">AM2/AO2-1</f>
        <v>-0.27335617104946619</v>
      </c>
      <c r="AO2" s="134">
        <v>2373559</v>
      </c>
      <c r="AP2" s="22">
        <f>AO2/AQ2-1</f>
        <v>0.57866385904049422</v>
      </c>
      <c r="AQ2" s="130">
        <v>1503524</v>
      </c>
      <c r="AR2" s="22">
        <f>AQ2/AT2-1</f>
        <v>-9.2327558572160795E-2</v>
      </c>
      <c r="AS2" s="133">
        <v>6188948</v>
      </c>
      <c r="AT2" s="134">
        <f>AS2-AZ2-AX2-AV2</f>
        <v>1656461</v>
      </c>
      <c r="AU2" s="149">
        <f t="shared" ref="AU2:AU25" si="8">AT2/AV2-1</f>
        <v>-7.9531158312143302E-2</v>
      </c>
      <c r="AV2" s="130">
        <v>1799584</v>
      </c>
      <c r="AW2" s="22">
        <f t="shared" ref="AW2:AW25" si="9">AV2/AX2-1</f>
        <v>0.16292913927227759</v>
      </c>
      <c r="AX2" s="134">
        <v>1547458</v>
      </c>
      <c r="AY2" s="22">
        <f>AX2/AZ2-1</f>
        <v>0.30538152339416835</v>
      </c>
      <c r="AZ2" s="130">
        <v>1185445</v>
      </c>
      <c r="BA2" s="133">
        <v>4405818</v>
      </c>
      <c r="BB2" s="28"/>
      <c r="BC2" s="28"/>
    </row>
    <row r="3" spans="1:56" ht="16.2" hidden="1" customHeight="1" x14ac:dyDescent="0.4">
      <c r="A3" s="29" t="s">
        <v>160</v>
      </c>
      <c r="B3" s="30" t="s">
        <v>161</v>
      </c>
      <c r="C3" s="130" t="s">
        <v>32</v>
      </c>
      <c r="D3" s="22" t="e">
        <f t="shared" si="0"/>
        <v>#VALUE!</v>
      </c>
      <c r="E3" s="130" t="s">
        <v>32</v>
      </c>
      <c r="F3" s="22" t="e">
        <f t="shared" si="1"/>
        <v>#VALUE!</v>
      </c>
      <c r="G3" s="131">
        <v>1760</v>
      </c>
      <c r="H3" s="148" t="s">
        <v>32</v>
      </c>
      <c r="I3" s="133">
        <f t="shared" si="2"/>
        <v>2297</v>
      </c>
      <c r="J3" s="130" t="s">
        <v>32</v>
      </c>
      <c r="K3" s="22"/>
      <c r="L3" s="131">
        <v>0</v>
      </c>
      <c r="M3" s="22"/>
      <c r="N3" s="130">
        <v>0</v>
      </c>
      <c r="O3" s="22">
        <f t="shared" si="3"/>
        <v>-1</v>
      </c>
      <c r="P3" s="131">
        <v>2297</v>
      </c>
      <c r="Q3" s="22"/>
      <c r="R3" s="133">
        <f t="shared" si="4"/>
        <v>14050</v>
      </c>
      <c r="S3" s="130">
        <v>10511</v>
      </c>
      <c r="T3" s="20"/>
      <c r="U3" s="130">
        <v>3539</v>
      </c>
      <c r="V3" s="20"/>
      <c r="W3" s="134">
        <v>0</v>
      </c>
      <c r="X3" s="20"/>
      <c r="Y3" s="131">
        <v>0</v>
      </c>
      <c r="Z3" s="22">
        <v>0</v>
      </c>
      <c r="AA3" s="135">
        <v>60</v>
      </c>
      <c r="AB3" s="131">
        <v>0</v>
      </c>
      <c r="AC3" s="23"/>
      <c r="AD3" s="131">
        <v>60</v>
      </c>
      <c r="AE3" s="20"/>
      <c r="AF3" s="131">
        <v>0</v>
      </c>
      <c r="AG3" s="20"/>
      <c r="AH3" s="131">
        <v>0</v>
      </c>
      <c r="AI3" s="22">
        <f t="shared" si="5"/>
        <v>-1</v>
      </c>
      <c r="AJ3" s="135">
        <v>2580</v>
      </c>
      <c r="AK3" s="131">
        <f t="shared" si="6"/>
        <v>100</v>
      </c>
      <c r="AL3" s="23">
        <v>0</v>
      </c>
      <c r="AM3" s="131">
        <v>0</v>
      </c>
      <c r="AN3" s="20">
        <f t="shared" si="7"/>
        <v>-1</v>
      </c>
      <c r="AO3" s="131">
        <v>330</v>
      </c>
      <c r="AP3" s="20">
        <f>AO3/AQ3-1</f>
        <v>-0.84651162790697676</v>
      </c>
      <c r="AQ3" s="131">
        <v>2150</v>
      </c>
      <c r="AR3" s="22">
        <v>0</v>
      </c>
      <c r="AS3" s="135">
        <v>6819</v>
      </c>
      <c r="AT3" s="131">
        <v>0</v>
      </c>
      <c r="AU3" s="23">
        <f t="shared" si="8"/>
        <v>-1</v>
      </c>
      <c r="AV3" s="131">
        <v>2762</v>
      </c>
      <c r="AW3" s="20">
        <f t="shared" si="9"/>
        <v>-6.7207024653833214E-2</v>
      </c>
      <c r="AX3" s="131">
        <v>2961</v>
      </c>
      <c r="AY3" s="20">
        <f>AX3/AZ3-1</f>
        <v>1.7016423357664232</v>
      </c>
      <c r="AZ3" s="131">
        <v>1096</v>
      </c>
      <c r="BA3" s="135">
        <v>3367</v>
      </c>
      <c r="BB3" s="28"/>
      <c r="BC3" s="28"/>
    </row>
    <row r="4" spans="1:56" ht="16.2" customHeight="1" x14ac:dyDescent="0.4">
      <c r="A4" s="29" t="s">
        <v>162</v>
      </c>
      <c r="B4" s="30" t="s">
        <v>163</v>
      </c>
      <c r="C4" s="130">
        <v>181359.98499999999</v>
      </c>
      <c r="D4" s="22">
        <f t="shared" si="0"/>
        <v>-0.22018991344034233</v>
      </c>
      <c r="E4" s="130">
        <v>232569.427</v>
      </c>
      <c r="F4" s="22">
        <f t="shared" si="1"/>
        <v>0.55015216516972343</v>
      </c>
      <c r="G4" s="131">
        <v>150030.06299999999</v>
      </c>
      <c r="H4" s="22">
        <f>G4/J4-1</f>
        <v>-0.36985139234684816</v>
      </c>
      <c r="I4" s="133">
        <f t="shared" si="2"/>
        <v>787517.74899999995</v>
      </c>
      <c r="J4" s="130">
        <v>238086.796</v>
      </c>
      <c r="K4" s="22">
        <f>J4/L4-1</f>
        <v>0.20335321623004221</v>
      </c>
      <c r="L4" s="131">
        <v>197852.79399999999</v>
      </c>
      <c r="M4" s="22">
        <f t="shared" ref="M4:M33" si="10">L4/N4-1</f>
        <v>0.39317099823830626</v>
      </c>
      <c r="N4" s="130">
        <v>142016.15899999999</v>
      </c>
      <c r="O4" s="22">
        <f t="shared" si="3"/>
        <v>-0.32231912751357605</v>
      </c>
      <c r="P4" s="131">
        <v>209562</v>
      </c>
      <c r="Q4" s="22">
        <f>P4/S4-1</f>
        <v>0.38757970429128563</v>
      </c>
      <c r="R4" s="133">
        <f t="shared" si="4"/>
        <v>577907</v>
      </c>
      <c r="S4" s="130">
        <v>151027</v>
      </c>
      <c r="T4" s="20">
        <f>S4/U4-1</f>
        <v>8.5410155728289361E-3</v>
      </c>
      <c r="U4" s="130">
        <v>149748</v>
      </c>
      <c r="V4" s="20">
        <f>U4/W4-1</f>
        <v>8.1080300612921263E-2</v>
      </c>
      <c r="W4" s="134">
        <f>277132-Y4</f>
        <v>138517</v>
      </c>
      <c r="X4" s="20">
        <f>W4/Y4-1</f>
        <v>-7.0699419254771634E-4</v>
      </c>
      <c r="Y4" s="131">
        <v>138615</v>
      </c>
      <c r="Z4" s="22">
        <f>Y4/AB4-1</f>
        <v>0.13627234796009535</v>
      </c>
      <c r="AA4" s="135">
        <v>506620</v>
      </c>
      <c r="AB4" s="134">
        <f>AA4-AD4-AF4-AH4</f>
        <v>121991</v>
      </c>
      <c r="AC4" s="23">
        <f>AB4/AD4-1</f>
        <v>-4.842471470136267E-2</v>
      </c>
      <c r="AD4" s="131">
        <f>384629-AH4-AF4</f>
        <v>128199</v>
      </c>
      <c r="AE4" s="20">
        <f>AD4/AF4-1</f>
        <v>4.3982801022818041E-2</v>
      </c>
      <c r="AF4" s="137">
        <v>122798</v>
      </c>
      <c r="AG4" s="20">
        <f>AF4/AH4-1</f>
        <v>-8.1073395593869724E-2</v>
      </c>
      <c r="AH4" s="131">
        <v>133632</v>
      </c>
      <c r="AI4" s="22">
        <f t="shared" si="5"/>
        <v>0.28460192644146654</v>
      </c>
      <c r="AJ4" s="135">
        <v>481482</v>
      </c>
      <c r="AK4" s="134">
        <f t="shared" si="6"/>
        <v>104026</v>
      </c>
      <c r="AL4" s="23">
        <f t="shared" ref="AL4:AL25" si="11">AK4/AM4-1</f>
        <v>-0.21577999080279531</v>
      </c>
      <c r="AM4" s="131">
        <v>132649</v>
      </c>
      <c r="AN4" s="20">
        <f t="shared" si="7"/>
        <v>7.2439748077840482E-2</v>
      </c>
      <c r="AO4" s="137">
        <v>123689</v>
      </c>
      <c r="AP4" s="20">
        <f>AO4/AQ4-1</f>
        <v>2.1227232946382957E-2</v>
      </c>
      <c r="AQ4" s="131">
        <v>121118</v>
      </c>
      <c r="AR4" s="22">
        <f>AQ4/AT4-1</f>
        <v>0.12677340428500994</v>
      </c>
      <c r="AS4" s="135">
        <v>394569</v>
      </c>
      <c r="AT4" s="134">
        <f>AS4-AZ4-AX4-AV4</f>
        <v>107491</v>
      </c>
      <c r="AU4" s="23">
        <f t="shared" si="8"/>
        <v>5.4919279650620823E-2</v>
      </c>
      <c r="AV4" s="131">
        <v>101895</v>
      </c>
      <c r="AW4" s="20">
        <f t="shared" si="9"/>
        <v>0.10123422099256452</v>
      </c>
      <c r="AX4" s="137">
        <v>92528</v>
      </c>
      <c r="AY4" s="20">
        <v>0</v>
      </c>
      <c r="AZ4" s="131">
        <v>92655</v>
      </c>
      <c r="BA4" s="135">
        <v>358152</v>
      </c>
      <c r="BB4" s="28"/>
      <c r="BC4" s="28"/>
    </row>
    <row r="5" spans="1:56" ht="16.2" customHeight="1" x14ac:dyDescent="0.4">
      <c r="A5" s="29" t="s">
        <v>164</v>
      </c>
      <c r="B5" s="30" t="s">
        <v>212</v>
      </c>
      <c r="C5" s="130">
        <v>505946.005</v>
      </c>
      <c r="D5" s="22">
        <f t="shared" si="0"/>
        <v>4.0874419945935436E-4</v>
      </c>
      <c r="E5" s="130">
        <v>505739.28700000001</v>
      </c>
      <c r="F5" s="22">
        <f t="shared" si="1"/>
        <v>44.614381872122436</v>
      </c>
      <c r="G5" s="131">
        <v>11087.277</v>
      </c>
      <c r="H5" s="148" t="s">
        <v>32</v>
      </c>
      <c r="I5" s="133">
        <f t="shared" si="2"/>
        <v>0</v>
      </c>
      <c r="J5" s="130">
        <v>0</v>
      </c>
      <c r="K5" s="22"/>
      <c r="L5" s="131">
        <v>0</v>
      </c>
      <c r="M5" s="22" t="e">
        <f t="shared" si="10"/>
        <v>#DIV/0!</v>
      </c>
      <c r="N5" s="130">
        <v>0</v>
      </c>
      <c r="O5" s="22" t="e">
        <f t="shared" si="3"/>
        <v>#DIV/0!</v>
      </c>
      <c r="P5" s="131"/>
      <c r="Q5" s="22"/>
      <c r="R5" s="133">
        <f t="shared" si="4"/>
        <v>0</v>
      </c>
      <c r="S5" s="130">
        <v>0</v>
      </c>
      <c r="T5" s="20"/>
      <c r="U5" s="130">
        <v>0</v>
      </c>
      <c r="V5" s="20"/>
      <c r="W5" s="134">
        <f>0</f>
        <v>0</v>
      </c>
      <c r="X5" s="20"/>
      <c r="Y5" s="131">
        <v>0</v>
      </c>
      <c r="Z5" s="22">
        <v>0</v>
      </c>
      <c r="AA5" s="135">
        <v>0</v>
      </c>
      <c r="AB5" s="131">
        <v>0</v>
      </c>
      <c r="AC5" s="23"/>
      <c r="AD5" s="131">
        <v>0</v>
      </c>
      <c r="AE5" s="20"/>
      <c r="AF5" s="131">
        <v>0</v>
      </c>
      <c r="AG5" s="20"/>
      <c r="AH5" s="131">
        <v>0</v>
      </c>
      <c r="AI5" s="22">
        <f t="shared" si="5"/>
        <v>-1</v>
      </c>
      <c r="AJ5" s="135">
        <v>8182</v>
      </c>
      <c r="AK5" s="131">
        <f t="shared" si="6"/>
        <v>-1</v>
      </c>
      <c r="AL5" s="23">
        <f t="shared" si="11"/>
        <v>-1.0008554319931566</v>
      </c>
      <c r="AM5" s="131">
        <v>1169</v>
      </c>
      <c r="AN5" s="20">
        <f t="shared" si="7"/>
        <v>-0.66666666666666674</v>
      </c>
      <c r="AO5" s="131">
        <v>3507</v>
      </c>
      <c r="AP5" s="20">
        <v>0</v>
      </c>
      <c r="AQ5" s="131">
        <v>3507</v>
      </c>
      <c r="AR5" s="22">
        <v>0</v>
      </c>
      <c r="AS5" s="135" t="s">
        <v>165</v>
      </c>
      <c r="AT5" s="131">
        <v>0</v>
      </c>
      <c r="AU5" s="23">
        <f t="shared" si="8"/>
        <v>-1</v>
      </c>
      <c r="AV5" s="131">
        <v>21449</v>
      </c>
      <c r="AW5" s="20">
        <f t="shared" si="9"/>
        <v>0</v>
      </c>
      <c r="AX5" s="131">
        <v>21449</v>
      </c>
      <c r="AY5" s="20">
        <v>0</v>
      </c>
      <c r="AZ5" s="131">
        <v>21449</v>
      </c>
      <c r="BA5" s="135">
        <v>77648</v>
      </c>
      <c r="BB5" s="28"/>
      <c r="BC5" s="28"/>
    </row>
    <row r="6" spans="1:56" ht="16.2" customHeight="1" x14ac:dyDescent="0.4">
      <c r="A6" s="29" t="s">
        <v>166</v>
      </c>
      <c r="B6" s="30" t="s">
        <v>213</v>
      </c>
      <c r="C6" s="130">
        <v>348892.46100000001</v>
      </c>
      <c r="D6" s="22">
        <f t="shared" si="0"/>
        <v>0.14277983240937053</v>
      </c>
      <c r="E6" s="130">
        <v>305301.55599999998</v>
      </c>
      <c r="F6" s="22">
        <f t="shared" si="1"/>
        <v>0.30782252514696862</v>
      </c>
      <c r="G6" s="131">
        <v>233442.65</v>
      </c>
      <c r="H6" s="22">
        <f>G6/J6-1</f>
        <v>-0.55906796404559655</v>
      </c>
      <c r="I6" s="133">
        <f t="shared" si="2"/>
        <v>1591430.5330000001</v>
      </c>
      <c r="J6" s="130">
        <v>529430.005</v>
      </c>
      <c r="K6" s="22">
        <f t="shared" ref="K6:K33" si="12">J6/L6-1</f>
        <v>0.55600047508520944</v>
      </c>
      <c r="L6" s="131">
        <v>340250.54200000002</v>
      </c>
      <c r="M6" s="22">
        <f t="shared" si="10"/>
        <v>0.27490055547956316</v>
      </c>
      <c r="N6" s="130">
        <v>266883.98600000003</v>
      </c>
      <c r="O6" s="22">
        <f t="shared" si="3"/>
        <v>-0.41326899350577961</v>
      </c>
      <c r="P6" s="131">
        <v>454866</v>
      </c>
      <c r="Q6" s="22">
        <f>P6/S6-1</f>
        <v>0.53245379385625058</v>
      </c>
      <c r="R6" s="133">
        <f t="shared" si="4"/>
        <v>1084447</v>
      </c>
      <c r="S6" s="130">
        <v>296822</v>
      </c>
      <c r="T6" s="20">
        <f t="shared" ref="T6:T33" si="13">S6/U6-1</f>
        <v>4.2669711074031724E-2</v>
      </c>
      <c r="U6" s="130">
        <v>284675</v>
      </c>
      <c r="V6" s="20">
        <f t="shared" ref="V6:V33" si="14">U6/W6-1</f>
        <v>-9.1519787587800328E-2</v>
      </c>
      <c r="W6" s="134">
        <f>502950-Y6</f>
        <v>313353</v>
      </c>
      <c r="X6" s="20">
        <f t="shared" ref="X6:X33" si="15">W6/Y6-1</f>
        <v>0.65273184702289599</v>
      </c>
      <c r="Y6" s="131">
        <v>189597</v>
      </c>
      <c r="Z6" s="22">
        <f t="shared" ref="Z6:Z33" si="16">Y6/AB6-1</f>
        <v>-6.1475328686836694E-2</v>
      </c>
      <c r="AA6" s="135">
        <v>840827</v>
      </c>
      <c r="AB6" s="134">
        <f t="shared" ref="AB6:AB30" si="17">AA6-AD6-AF6-AH6</f>
        <v>202016</v>
      </c>
      <c r="AC6" s="23">
        <f t="shared" ref="AC6:AC33" si="18">AB6/AD6-1</f>
        <v>-0.13057175442749236</v>
      </c>
      <c r="AD6" s="131">
        <f>638811-AH6-AF6</f>
        <v>232355</v>
      </c>
      <c r="AE6" s="20">
        <f t="shared" ref="AE6:AE33" si="19">AD6/AF6-1</f>
        <v>0.20661272901001215</v>
      </c>
      <c r="AF6" s="137">
        <v>192568</v>
      </c>
      <c r="AG6" s="20">
        <f t="shared" ref="AG6:AG33" si="20">AF6/AH6-1</f>
        <v>-9.9678336325553563E-2</v>
      </c>
      <c r="AH6" s="131">
        <v>213888</v>
      </c>
      <c r="AI6" s="22">
        <f t="shared" si="5"/>
        <v>-5.6132175386570671E-2</v>
      </c>
      <c r="AJ6" s="135">
        <v>910003</v>
      </c>
      <c r="AK6" s="134">
        <f t="shared" si="6"/>
        <v>226608</v>
      </c>
      <c r="AL6" s="23">
        <f t="shared" si="11"/>
        <v>-5.3034070347138917E-2</v>
      </c>
      <c r="AM6" s="131">
        <v>239299</v>
      </c>
      <c r="AN6" s="20">
        <f t="shared" si="7"/>
        <v>5.7115239135916429E-3</v>
      </c>
      <c r="AO6" s="137">
        <v>237940</v>
      </c>
      <c r="AP6" s="20">
        <f t="shared" ref="AP6:AP25" si="21">AO6/AQ6-1</f>
        <v>0.15417450862453674</v>
      </c>
      <c r="AQ6" s="131">
        <v>206156</v>
      </c>
      <c r="AR6" s="22">
        <f t="shared" ref="AR6:AR30" si="22">AQ6/AT6-1</f>
        <v>7.5314134896748763E-2</v>
      </c>
      <c r="AS6" s="135">
        <v>664067</v>
      </c>
      <c r="AT6" s="134">
        <f t="shared" ref="AT6:AT30" si="23">AS6-AZ6-AX6-AV6</f>
        <v>191717</v>
      </c>
      <c r="AU6" s="23">
        <f t="shared" si="8"/>
        <v>0.1962947478768744</v>
      </c>
      <c r="AV6" s="131">
        <v>160259</v>
      </c>
      <c r="AW6" s="20">
        <f t="shared" si="9"/>
        <v>-0.12751454968124087</v>
      </c>
      <c r="AX6" s="137">
        <v>183681</v>
      </c>
      <c r="AY6" s="20">
        <f t="shared" ref="AY6:AY13" si="24">AX6/AZ6-1</f>
        <v>0.4304259792851024</v>
      </c>
      <c r="AZ6" s="131">
        <v>128410</v>
      </c>
      <c r="BA6" s="135">
        <v>501255</v>
      </c>
      <c r="BB6" s="28"/>
      <c r="BC6" s="28"/>
    </row>
    <row r="7" spans="1:56" ht="16.2" customHeight="1" x14ac:dyDescent="0.4">
      <c r="A7" s="29" t="s">
        <v>167</v>
      </c>
      <c r="B7" s="30" t="s">
        <v>214</v>
      </c>
      <c r="C7" s="130">
        <v>329748.75400000002</v>
      </c>
      <c r="D7" s="22">
        <f t="shared" si="0"/>
        <v>0.60476993641694987</v>
      </c>
      <c r="E7" s="130">
        <v>205480.391</v>
      </c>
      <c r="F7" s="22">
        <f t="shared" si="1"/>
        <v>-0.3100345422953712</v>
      </c>
      <c r="G7" s="131">
        <v>297812.57699999999</v>
      </c>
      <c r="H7" s="22">
        <f>G7/J7-1</f>
        <v>0.64233233482126706</v>
      </c>
      <c r="I7" s="133">
        <f t="shared" si="2"/>
        <v>312864.21499999997</v>
      </c>
      <c r="J7" s="130">
        <v>181335.14799999999</v>
      </c>
      <c r="K7" s="22">
        <f t="shared" si="12"/>
        <v>7.4642204411958755</v>
      </c>
      <c r="L7" s="131">
        <v>21423.726999999999</v>
      </c>
      <c r="M7" s="22">
        <f t="shared" si="10"/>
        <v>-0.74209205447050552</v>
      </c>
      <c r="N7" s="130">
        <v>83067.34</v>
      </c>
      <c r="O7" s="22">
        <f t="shared" si="3"/>
        <v>2.072244248834973</v>
      </c>
      <c r="P7" s="131">
        <v>27038</v>
      </c>
      <c r="Q7" s="22">
        <f>P7/S7-1</f>
        <v>6.9360140886410333</v>
      </c>
      <c r="R7" s="133">
        <f t="shared" si="4"/>
        <v>7368</v>
      </c>
      <c r="S7" s="130">
        <v>3407</v>
      </c>
      <c r="T7" s="20">
        <f t="shared" si="13"/>
        <v>1.6554949337490257</v>
      </c>
      <c r="U7" s="130">
        <v>1283</v>
      </c>
      <c r="V7" s="20">
        <f t="shared" si="14"/>
        <v>0.23128598848368531</v>
      </c>
      <c r="W7" s="134">
        <f>2678-Y7</f>
        <v>1042</v>
      </c>
      <c r="X7" s="20">
        <f t="shared" si="15"/>
        <v>-0.36308068459657705</v>
      </c>
      <c r="Y7" s="131">
        <v>1636</v>
      </c>
      <c r="Z7" s="22">
        <f t="shared" si="16"/>
        <v>-0.68574721475220901</v>
      </c>
      <c r="AA7" s="135">
        <v>38985</v>
      </c>
      <c r="AB7" s="134">
        <f t="shared" si="17"/>
        <v>5206</v>
      </c>
      <c r="AC7" s="23">
        <f t="shared" si="18"/>
        <v>-8.2406119610570236</v>
      </c>
      <c r="AD7" s="131">
        <f>33779-AH7-AF7</f>
        <v>-719</v>
      </c>
      <c r="AE7" s="20">
        <f t="shared" si="19"/>
        <v>-0.9348790870392174</v>
      </c>
      <c r="AF7" s="137">
        <v>-11041</v>
      </c>
      <c r="AG7" s="20">
        <f t="shared" si="20"/>
        <v>-1.2424515250664265</v>
      </c>
      <c r="AH7" s="131">
        <v>45539</v>
      </c>
      <c r="AI7" s="22">
        <f t="shared" si="5"/>
        <v>-0.55027651589966431</v>
      </c>
      <c r="AJ7" s="135">
        <v>398915</v>
      </c>
      <c r="AK7" s="134">
        <f t="shared" si="6"/>
        <v>101260</v>
      </c>
      <c r="AL7" s="23">
        <f t="shared" si="11"/>
        <v>0.44655076356052059</v>
      </c>
      <c r="AM7" s="131">
        <v>70001</v>
      </c>
      <c r="AN7" s="20">
        <f t="shared" si="7"/>
        <v>-0.37315531198509921</v>
      </c>
      <c r="AO7" s="137">
        <v>111672</v>
      </c>
      <c r="AP7" s="20">
        <f t="shared" si="21"/>
        <v>-3.7160938766360285E-2</v>
      </c>
      <c r="AQ7" s="131">
        <v>115982</v>
      </c>
      <c r="AR7" s="22">
        <f t="shared" si="22"/>
        <v>-4.761044506487111E-2</v>
      </c>
      <c r="AS7" s="135">
        <v>432930</v>
      </c>
      <c r="AT7" s="134">
        <f t="shared" si="23"/>
        <v>121780</v>
      </c>
      <c r="AU7" s="23">
        <f t="shared" si="8"/>
        <v>0.18250230616109153</v>
      </c>
      <c r="AV7" s="131">
        <v>102985</v>
      </c>
      <c r="AW7" s="20">
        <f t="shared" si="9"/>
        <v>-0.15483537406033554</v>
      </c>
      <c r="AX7" s="137">
        <v>121852</v>
      </c>
      <c r="AY7" s="20">
        <f t="shared" si="24"/>
        <v>0.41174562348661259</v>
      </c>
      <c r="AZ7" s="131">
        <v>86313</v>
      </c>
      <c r="BA7" s="135">
        <v>427225</v>
      </c>
      <c r="BB7" s="28"/>
      <c r="BC7" s="28"/>
    </row>
    <row r="8" spans="1:56" ht="16.2" customHeight="1" x14ac:dyDescent="0.4">
      <c r="A8" s="29" t="s">
        <v>168</v>
      </c>
      <c r="B8" s="30" t="s">
        <v>224</v>
      </c>
      <c r="C8" s="130">
        <v>40064.523000000001</v>
      </c>
      <c r="D8" s="22">
        <f t="shared" si="0"/>
        <v>0.10110356268202514</v>
      </c>
      <c r="E8" s="130">
        <v>36385.79</v>
      </c>
      <c r="F8" s="22">
        <f t="shared" si="1"/>
        <v>-0.36366386364804526</v>
      </c>
      <c r="G8" s="131">
        <v>57180.141000000003</v>
      </c>
      <c r="H8" s="22">
        <f>G8/J8-1</f>
        <v>0.87746380809989999</v>
      </c>
      <c r="I8" s="133">
        <f t="shared" si="2"/>
        <v>58869.182000000001</v>
      </c>
      <c r="J8" s="130">
        <v>30456.055</v>
      </c>
      <c r="K8" s="22">
        <f t="shared" si="12"/>
        <v>1.4193572859016452</v>
      </c>
      <c r="L8" s="131">
        <v>12588.49</v>
      </c>
      <c r="M8" s="22">
        <f t="shared" si="10"/>
        <v>-0.16264507384340865</v>
      </c>
      <c r="N8" s="130">
        <v>15033.637000000001</v>
      </c>
      <c r="O8" s="22">
        <f t="shared" si="3"/>
        <v>18.005862199747156</v>
      </c>
      <c r="P8" s="131">
        <v>791</v>
      </c>
      <c r="Q8" s="22">
        <f>P8/S8-1</f>
        <v>-0.92655524605385331</v>
      </c>
      <c r="R8" s="133">
        <f t="shared" si="4"/>
        <v>37125</v>
      </c>
      <c r="S8" s="130">
        <v>10770</v>
      </c>
      <c r="T8" s="20">
        <f t="shared" si="13"/>
        <v>6.3913859527807926E-2</v>
      </c>
      <c r="U8" s="130">
        <v>10123</v>
      </c>
      <c r="V8" s="20">
        <f t="shared" si="14"/>
        <v>-0.14588255146810669</v>
      </c>
      <c r="W8" s="134">
        <f>16232-Y8</f>
        <v>11852</v>
      </c>
      <c r="X8" s="20">
        <f t="shared" si="15"/>
        <v>1.7059360730593607</v>
      </c>
      <c r="Y8" s="131">
        <v>4380</v>
      </c>
      <c r="Z8" s="22">
        <f t="shared" si="16"/>
        <v>-0.82091749120942026</v>
      </c>
      <c r="AA8" s="135">
        <v>52594</v>
      </c>
      <c r="AB8" s="134">
        <f t="shared" si="17"/>
        <v>24458</v>
      </c>
      <c r="AC8" s="23">
        <f t="shared" si="18"/>
        <v>0.67992307163953569</v>
      </c>
      <c r="AD8" s="131">
        <f>28136-AH8-AF8</f>
        <v>14559</v>
      </c>
      <c r="AE8" s="20">
        <f t="shared" si="19"/>
        <v>1.0604302292669119</v>
      </c>
      <c r="AF8" s="137">
        <v>7066</v>
      </c>
      <c r="AG8" s="20">
        <f t="shared" si="20"/>
        <v>8.5240362463523178E-2</v>
      </c>
      <c r="AH8" s="131">
        <v>6511</v>
      </c>
      <c r="AI8" s="22">
        <f t="shared" si="5"/>
        <v>-0.91336686359039865</v>
      </c>
      <c r="AJ8" s="135">
        <v>108903</v>
      </c>
      <c r="AK8" s="134">
        <f t="shared" si="6"/>
        <v>75156</v>
      </c>
      <c r="AL8" s="23">
        <f t="shared" si="11"/>
        <v>5.633948274340189</v>
      </c>
      <c r="AM8" s="131">
        <v>11329</v>
      </c>
      <c r="AN8" s="20">
        <f t="shared" si="7"/>
        <v>-0.19726493304045911</v>
      </c>
      <c r="AO8" s="137">
        <v>14113</v>
      </c>
      <c r="AP8" s="20">
        <f t="shared" si="21"/>
        <v>0.69933774834437079</v>
      </c>
      <c r="AQ8" s="131">
        <v>8305</v>
      </c>
      <c r="AR8" s="22">
        <f t="shared" si="22"/>
        <v>0.20712209302325579</v>
      </c>
      <c r="AS8" s="135">
        <v>19854</v>
      </c>
      <c r="AT8" s="134">
        <f t="shared" si="23"/>
        <v>6880</v>
      </c>
      <c r="AU8" s="23">
        <f t="shared" si="8"/>
        <v>0.76410256410256405</v>
      </c>
      <c r="AV8" s="131">
        <v>3900</v>
      </c>
      <c r="AW8" s="20">
        <f t="shared" si="9"/>
        <v>0.86246418338108888</v>
      </c>
      <c r="AX8" s="137">
        <v>2094</v>
      </c>
      <c r="AY8" s="20">
        <f t="shared" si="24"/>
        <v>-0.7</v>
      </c>
      <c r="AZ8" s="131">
        <v>6980</v>
      </c>
      <c r="BA8" s="135">
        <v>8816</v>
      </c>
      <c r="BB8" s="28"/>
      <c r="BC8" s="28"/>
    </row>
    <row r="9" spans="1:56" ht="16.2" customHeight="1" x14ac:dyDescent="0.4">
      <c r="A9" s="29" t="s">
        <v>169</v>
      </c>
      <c r="B9" s="30" t="s">
        <v>215</v>
      </c>
      <c r="C9" s="130">
        <v>9973.2070000000003</v>
      </c>
      <c r="D9" s="22">
        <f t="shared" si="0"/>
        <v>-0.14772033809154672</v>
      </c>
      <c r="E9" s="130">
        <v>11701.800999999999</v>
      </c>
      <c r="F9" s="22">
        <f t="shared" si="1"/>
        <v>-0.17590101178850626</v>
      </c>
      <c r="G9" s="131">
        <v>14199.509</v>
      </c>
      <c r="H9" s="22">
        <f t="shared" ref="H9:H33" si="25">G9/J9-1</f>
        <v>0.17100322573063442</v>
      </c>
      <c r="I9" s="133">
        <f t="shared" si="2"/>
        <v>36580.214999999997</v>
      </c>
      <c r="J9" s="130">
        <v>12125.934999999999</v>
      </c>
      <c r="K9" s="22">
        <f t="shared" si="12"/>
        <v>0.37485825879152634</v>
      </c>
      <c r="L9" s="131">
        <v>8819.7710000000006</v>
      </c>
      <c r="M9" s="22">
        <f t="shared" si="10"/>
        <v>0.22880667930893583</v>
      </c>
      <c r="N9" s="130">
        <v>7177.509</v>
      </c>
      <c r="O9" s="22">
        <f t="shared" si="3"/>
        <v>-0.15129372117772255</v>
      </c>
      <c r="P9" s="131">
        <v>8457</v>
      </c>
      <c r="Q9" s="148"/>
      <c r="R9" s="133">
        <v>35844</v>
      </c>
      <c r="S9" s="130">
        <f>R9-U9-W9-Y9</f>
        <v>0</v>
      </c>
      <c r="T9" s="20"/>
      <c r="U9" s="130">
        <f>R9-W9-Y9</f>
        <v>18482</v>
      </c>
      <c r="V9" s="20">
        <f t="shared" si="14"/>
        <v>1.1799952819061099</v>
      </c>
      <c r="W9" s="134">
        <f>17362-Y9</f>
        <v>8478</v>
      </c>
      <c r="X9" s="20">
        <f t="shared" si="15"/>
        <v>-4.5700135074290826E-2</v>
      </c>
      <c r="Y9" s="131">
        <v>8884</v>
      </c>
      <c r="Z9" s="22">
        <f t="shared" si="16"/>
        <v>8.8992400098063307E-2</v>
      </c>
      <c r="AA9" s="135">
        <v>33830</v>
      </c>
      <c r="AB9" s="134">
        <f t="shared" si="17"/>
        <v>8158</v>
      </c>
      <c r="AC9" s="23">
        <f t="shared" si="18"/>
        <v>1.0654112983151665E-2</v>
      </c>
      <c r="AD9" s="131">
        <f>25672-AH9-AF9</f>
        <v>8072</v>
      </c>
      <c r="AE9" s="20">
        <f t="shared" si="19"/>
        <v>-5.7339717388765643E-2</v>
      </c>
      <c r="AF9" s="137">
        <v>8563</v>
      </c>
      <c r="AG9" s="20">
        <f t="shared" si="20"/>
        <v>-5.2451034635387805E-2</v>
      </c>
      <c r="AH9" s="131">
        <v>9037</v>
      </c>
      <c r="AI9" s="22">
        <f t="shared" si="5"/>
        <v>3.5535813436979868E-3</v>
      </c>
      <c r="AJ9" s="135">
        <v>34828</v>
      </c>
      <c r="AK9" s="134">
        <f t="shared" si="6"/>
        <v>9005</v>
      </c>
      <c r="AL9" s="23">
        <f t="shared" si="11"/>
        <v>6.2662261033750388E-2</v>
      </c>
      <c r="AM9" s="131">
        <v>8474</v>
      </c>
      <c r="AN9" s="20">
        <f t="shared" si="7"/>
        <v>-7.1851040525739318E-2</v>
      </c>
      <c r="AO9" s="137">
        <v>9130</v>
      </c>
      <c r="AP9" s="20">
        <f t="shared" si="21"/>
        <v>0.11084073488258905</v>
      </c>
      <c r="AQ9" s="131">
        <v>8219</v>
      </c>
      <c r="AR9" s="22">
        <f t="shared" si="22"/>
        <v>0.49735835306977583</v>
      </c>
      <c r="AS9" s="135">
        <v>29384</v>
      </c>
      <c r="AT9" s="134">
        <f t="shared" si="23"/>
        <v>5489</v>
      </c>
      <c r="AU9" s="23">
        <f t="shared" si="8"/>
        <v>-0.31575666915981049</v>
      </c>
      <c r="AV9" s="131">
        <v>8022</v>
      </c>
      <c r="AW9" s="20">
        <f t="shared" si="9"/>
        <v>-1.7421602787456303E-3</v>
      </c>
      <c r="AX9" s="137">
        <v>8036</v>
      </c>
      <c r="AY9" s="20">
        <f t="shared" si="24"/>
        <v>2.5392369529156467E-2</v>
      </c>
      <c r="AZ9" s="131">
        <v>7837</v>
      </c>
      <c r="BA9" s="135">
        <v>31299</v>
      </c>
      <c r="BB9" s="28"/>
      <c r="BC9" s="28"/>
    </row>
    <row r="10" spans="1:56" ht="16.2" customHeight="1" x14ac:dyDescent="0.4">
      <c r="A10" s="29" t="s">
        <v>170</v>
      </c>
      <c r="B10" s="30" t="s">
        <v>216</v>
      </c>
      <c r="C10" s="130">
        <v>41697.078999999998</v>
      </c>
      <c r="D10" s="22">
        <f t="shared" si="0"/>
        <v>0.65928877423651544</v>
      </c>
      <c r="E10" s="130">
        <v>25129.489000000001</v>
      </c>
      <c r="F10" s="22">
        <f t="shared" si="1"/>
        <v>-0.50129572474933293</v>
      </c>
      <c r="G10" s="131">
        <v>50389.56</v>
      </c>
      <c r="H10" s="22">
        <f t="shared" si="25"/>
        <v>1.3510268114110571</v>
      </c>
      <c r="I10" s="133">
        <f t="shared" si="2"/>
        <v>134354.62300000002</v>
      </c>
      <c r="J10" s="130">
        <v>21433.001</v>
      </c>
      <c r="K10" s="22">
        <f t="shared" si="12"/>
        <v>-0.51557076149524339</v>
      </c>
      <c r="L10" s="131">
        <v>44243.822</v>
      </c>
      <c r="M10" s="22">
        <f t="shared" si="10"/>
        <v>0.31698423565551792</v>
      </c>
      <c r="N10" s="130">
        <v>33594.800000000003</v>
      </c>
      <c r="O10" s="22">
        <f t="shared" si="3"/>
        <v>-4.2419405410027533E-2</v>
      </c>
      <c r="P10" s="131">
        <v>35083</v>
      </c>
      <c r="Q10" s="22">
        <f t="shared" ref="Q10:Q33" si="26">P10/S10-1</f>
        <v>0.85408519184018594</v>
      </c>
      <c r="R10" s="133">
        <f t="shared" ref="R10:R30" si="27">S10+U10+W10+Y10</f>
        <v>82864</v>
      </c>
      <c r="S10" s="130">
        <v>18922</v>
      </c>
      <c r="T10" s="20">
        <f t="shared" si="13"/>
        <v>-0.10057990303260766</v>
      </c>
      <c r="U10" s="130">
        <v>21038</v>
      </c>
      <c r="V10" s="20">
        <f t="shared" si="14"/>
        <v>0.33532211996191674</v>
      </c>
      <c r="W10" s="134">
        <f>42904-Y10</f>
        <v>15755</v>
      </c>
      <c r="X10" s="20">
        <f t="shared" si="15"/>
        <v>-0.41968396626026738</v>
      </c>
      <c r="Y10" s="131">
        <v>27149</v>
      </c>
      <c r="Z10" s="22">
        <f t="shared" si="16"/>
        <v>0.84825379535706991</v>
      </c>
      <c r="AA10" s="135">
        <v>58138</v>
      </c>
      <c r="AB10" s="134">
        <f t="shared" si="17"/>
        <v>14689</v>
      </c>
      <c r="AC10" s="23">
        <f t="shared" si="18"/>
        <v>4.9889214495032475E-2</v>
      </c>
      <c r="AD10" s="131">
        <f>43449-AH10-AF10</f>
        <v>13991</v>
      </c>
      <c r="AE10" s="20">
        <f t="shared" si="19"/>
        <v>0.30671523302512371</v>
      </c>
      <c r="AF10" s="137">
        <v>10707</v>
      </c>
      <c r="AG10" s="20">
        <f t="shared" si="20"/>
        <v>-0.42899045384246171</v>
      </c>
      <c r="AH10" s="131">
        <v>18751</v>
      </c>
      <c r="AI10" s="22">
        <f t="shared" si="5"/>
        <v>0.33193635459582338</v>
      </c>
      <c r="AJ10" s="135">
        <v>64051</v>
      </c>
      <c r="AK10" s="134">
        <f t="shared" si="6"/>
        <v>14078</v>
      </c>
      <c r="AL10" s="23">
        <f t="shared" si="11"/>
        <v>-0.15228518094779309</v>
      </c>
      <c r="AM10" s="131">
        <v>16607</v>
      </c>
      <c r="AN10" s="20">
        <f t="shared" si="7"/>
        <v>0.36011466011466009</v>
      </c>
      <c r="AO10" s="137">
        <v>12210</v>
      </c>
      <c r="AP10" s="20">
        <f t="shared" si="21"/>
        <v>-0.42285876347135565</v>
      </c>
      <c r="AQ10" s="131">
        <v>21156</v>
      </c>
      <c r="AR10" s="22">
        <f t="shared" si="22"/>
        <v>0.14294975688816858</v>
      </c>
      <c r="AS10" s="135">
        <v>79476</v>
      </c>
      <c r="AT10" s="134">
        <f t="shared" si="23"/>
        <v>18510</v>
      </c>
      <c r="AU10" s="23">
        <f t="shared" si="8"/>
        <v>-0.11836151464634437</v>
      </c>
      <c r="AV10" s="131">
        <v>20995</v>
      </c>
      <c r="AW10" s="20">
        <f t="shared" si="9"/>
        <v>0.37123636601136445</v>
      </c>
      <c r="AX10" s="137">
        <v>15311</v>
      </c>
      <c r="AY10" s="20">
        <f t="shared" si="24"/>
        <v>-0.37911597729115976</v>
      </c>
      <c r="AZ10" s="131">
        <v>24660</v>
      </c>
      <c r="BA10" s="135">
        <v>29653</v>
      </c>
      <c r="BB10" s="28"/>
      <c r="BC10" s="28"/>
    </row>
    <row r="11" spans="1:56" ht="16.2" customHeight="1" x14ac:dyDescent="0.4">
      <c r="A11" s="29" t="s">
        <v>171</v>
      </c>
      <c r="B11" s="30" t="s">
        <v>217</v>
      </c>
      <c r="C11" s="130">
        <v>146909.837</v>
      </c>
      <c r="D11" s="22">
        <f t="shared" si="0"/>
        <v>6.2451987374372768</v>
      </c>
      <c r="E11" s="130">
        <v>20276.853999999999</v>
      </c>
      <c r="F11" s="22">
        <f t="shared" si="1"/>
        <v>-0.83141687854858404</v>
      </c>
      <c r="G11" s="131">
        <v>120278.079</v>
      </c>
      <c r="H11" s="22">
        <f t="shared" si="25"/>
        <v>-8.1739344771164513E-2</v>
      </c>
      <c r="I11" s="133">
        <f t="shared" si="2"/>
        <v>375008.91499999998</v>
      </c>
      <c r="J11" s="130">
        <v>130984.681</v>
      </c>
      <c r="K11" s="22">
        <f t="shared" si="12"/>
        <v>-0.24390329488911211</v>
      </c>
      <c r="L11" s="131">
        <v>173238</v>
      </c>
      <c r="M11" s="22">
        <f t="shared" si="10"/>
        <v>11.031892244562773</v>
      </c>
      <c r="N11" s="130">
        <v>14398.233999999997</v>
      </c>
      <c r="O11" s="22">
        <f t="shared" si="3"/>
        <v>-0.74465783500035476</v>
      </c>
      <c r="P11" s="131">
        <v>56388</v>
      </c>
      <c r="Q11" s="22">
        <f t="shared" si="26"/>
        <v>0.19681630054122889</v>
      </c>
      <c r="R11" s="133">
        <f t="shared" si="27"/>
        <v>180711</v>
      </c>
      <c r="S11" s="130">
        <v>47115</v>
      </c>
      <c r="T11" s="20">
        <f t="shared" si="13"/>
        <v>-0.52211662322118646</v>
      </c>
      <c r="U11" s="130">
        <v>98591</v>
      </c>
      <c r="V11" s="20">
        <f t="shared" si="14"/>
        <v>7.9815978864899328</v>
      </c>
      <c r="W11" s="134">
        <f>35005-Y11</f>
        <v>10977</v>
      </c>
      <c r="X11" s="20">
        <f t="shared" si="15"/>
        <v>-0.54315798235392043</v>
      </c>
      <c r="Y11" s="131">
        <v>24028</v>
      </c>
      <c r="Z11" s="22">
        <f t="shared" si="16"/>
        <v>-0.3428149444778732</v>
      </c>
      <c r="AA11" s="135">
        <v>194363</v>
      </c>
      <c r="AB11" s="134">
        <f t="shared" si="17"/>
        <v>36562</v>
      </c>
      <c r="AC11" s="23">
        <f t="shared" si="18"/>
        <v>-0.5990745005153848</v>
      </c>
      <c r="AD11" s="131">
        <f>157801-AH11-AF11</f>
        <v>91194</v>
      </c>
      <c r="AE11" s="20">
        <f t="shared" si="19"/>
        <v>5.270645671457058</v>
      </c>
      <c r="AF11" s="137">
        <v>14543</v>
      </c>
      <c r="AG11" s="20">
        <f t="shared" si="20"/>
        <v>-0.72067071296865404</v>
      </c>
      <c r="AH11" s="131">
        <v>52064</v>
      </c>
      <c r="AI11" s="22">
        <f t="shared" si="5"/>
        <v>0.68350255448489938</v>
      </c>
      <c r="AJ11" s="135">
        <v>175707</v>
      </c>
      <c r="AK11" s="134">
        <f t="shared" si="6"/>
        <v>30926</v>
      </c>
      <c r="AL11" s="23">
        <f t="shared" si="11"/>
        <v>-0.64083386562917366</v>
      </c>
      <c r="AM11" s="131">
        <v>86105</v>
      </c>
      <c r="AN11" s="20">
        <f t="shared" si="7"/>
        <v>5.9720647773279349</v>
      </c>
      <c r="AO11" s="137">
        <v>12350</v>
      </c>
      <c r="AP11" s="20">
        <f t="shared" si="21"/>
        <v>-0.7334110434745067</v>
      </c>
      <c r="AQ11" s="131">
        <v>46326</v>
      </c>
      <c r="AR11" s="22">
        <f t="shared" si="22"/>
        <v>1.4741508224738302</v>
      </c>
      <c r="AS11" s="135">
        <v>187953</v>
      </c>
      <c r="AT11" s="134">
        <f t="shared" si="23"/>
        <v>18724</v>
      </c>
      <c r="AU11" s="23">
        <f t="shared" si="8"/>
        <v>-0.77444496645103778</v>
      </c>
      <c r="AV11" s="131">
        <v>83013</v>
      </c>
      <c r="AW11" s="20">
        <f t="shared" si="9"/>
        <v>7.0501357641582629</v>
      </c>
      <c r="AX11" s="137">
        <v>10312</v>
      </c>
      <c r="AY11" s="20">
        <f t="shared" si="24"/>
        <v>-0.86414418212478927</v>
      </c>
      <c r="AZ11" s="131">
        <v>75904</v>
      </c>
      <c r="BA11" s="135">
        <v>34830</v>
      </c>
      <c r="BB11" s="28"/>
      <c r="BC11" s="28"/>
    </row>
    <row r="12" spans="1:56" ht="16.2" customHeight="1" x14ac:dyDescent="0.4">
      <c r="A12" s="29" t="s">
        <v>172</v>
      </c>
      <c r="B12" s="30" t="s">
        <v>173</v>
      </c>
      <c r="C12" s="130">
        <v>517764.84499999997</v>
      </c>
      <c r="D12" s="22">
        <f t="shared" si="0"/>
        <v>0.10277611747846516</v>
      </c>
      <c r="E12" s="130">
        <v>469510.39</v>
      </c>
      <c r="F12" s="22">
        <f t="shared" si="1"/>
        <v>7.4100555173933547E-2</v>
      </c>
      <c r="G12" s="131">
        <v>437119.58600000001</v>
      </c>
      <c r="H12" s="22">
        <f t="shared" si="25"/>
        <v>8.5024557888065955E-2</v>
      </c>
      <c r="I12" s="133">
        <f t="shared" si="2"/>
        <v>1430150.449</v>
      </c>
      <c r="J12" s="130">
        <v>402866.076</v>
      </c>
      <c r="K12" s="22">
        <f t="shared" si="12"/>
        <v>0.44122243468896172</v>
      </c>
      <c r="L12" s="131">
        <v>279530.81099999999</v>
      </c>
      <c r="M12" s="22">
        <f t="shared" si="10"/>
        <v>-0.25606753238228608</v>
      </c>
      <c r="N12" s="130">
        <v>375747.56200000003</v>
      </c>
      <c r="O12" s="22">
        <f t="shared" si="3"/>
        <v>1.00578001430085E-2</v>
      </c>
      <c r="P12" s="131">
        <v>372006</v>
      </c>
      <c r="Q12" s="22">
        <f t="shared" si="26"/>
        <v>0.41117694811352967</v>
      </c>
      <c r="R12" s="133">
        <f t="shared" si="27"/>
        <v>956852</v>
      </c>
      <c r="S12" s="130">
        <v>263614</v>
      </c>
      <c r="T12" s="20">
        <f t="shared" si="13"/>
        <v>6.5404092454057983E-2</v>
      </c>
      <c r="U12" s="130">
        <v>247431</v>
      </c>
      <c r="V12" s="20">
        <f t="shared" si="14"/>
        <v>5.7361286793613964E-2</v>
      </c>
      <c r="W12" s="134">
        <f>445807-Y12</f>
        <v>234008</v>
      </c>
      <c r="X12" s="20">
        <f t="shared" si="15"/>
        <v>0.10485885202479706</v>
      </c>
      <c r="Y12" s="131">
        <v>211799</v>
      </c>
      <c r="Z12" s="22">
        <f t="shared" si="16"/>
        <v>5.7023650891088185E-2</v>
      </c>
      <c r="AA12" s="135">
        <v>739638</v>
      </c>
      <c r="AB12" s="134">
        <f t="shared" si="17"/>
        <v>200373</v>
      </c>
      <c r="AC12" s="23">
        <f t="shared" si="18"/>
        <v>0.17434725274725271</v>
      </c>
      <c r="AD12" s="131">
        <f>539265-AH12-AF12</f>
        <v>170625</v>
      </c>
      <c r="AE12" s="20">
        <f t="shared" si="19"/>
        <v>-7.8788238724098125E-2</v>
      </c>
      <c r="AF12" s="137">
        <v>185218</v>
      </c>
      <c r="AG12" s="20">
        <f t="shared" si="20"/>
        <v>9.7916280489800389E-3</v>
      </c>
      <c r="AH12" s="131">
        <v>183422</v>
      </c>
      <c r="AI12" s="22">
        <f t="shared" si="5"/>
        <v>0.32820171182783242</v>
      </c>
      <c r="AJ12" s="135">
        <v>665144</v>
      </c>
      <c r="AK12" s="134">
        <f t="shared" si="6"/>
        <v>138098</v>
      </c>
      <c r="AL12" s="23">
        <f t="shared" si="11"/>
        <v>-0.21861544119727272</v>
      </c>
      <c r="AM12" s="131">
        <v>176735</v>
      </c>
      <c r="AN12" s="20">
        <f t="shared" si="7"/>
        <v>-5.2125457217329751E-2</v>
      </c>
      <c r="AO12" s="137">
        <v>186454</v>
      </c>
      <c r="AP12" s="20">
        <f t="shared" si="21"/>
        <v>0.13790683339741361</v>
      </c>
      <c r="AQ12" s="131">
        <v>163857</v>
      </c>
      <c r="AR12" s="22">
        <f t="shared" si="22"/>
        <v>0.3220244626605564</v>
      </c>
      <c r="AS12" s="135">
        <v>472654</v>
      </c>
      <c r="AT12" s="134">
        <f t="shared" si="23"/>
        <v>123944</v>
      </c>
      <c r="AU12" s="23">
        <f t="shared" si="8"/>
        <v>5.3345457944878438E-2</v>
      </c>
      <c r="AV12" s="131">
        <v>117667</v>
      </c>
      <c r="AW12" s="20">
        <f t="shared" si="9"/>
        <v>4.2795866640670699E-2</v>
      </c>
      <c r="AX12" s="137">
        <v>112838</v>
      </c>
      <c r="AY12" s="20">
        <f t="shared" si="24"/>
        <v>-4.5404170720358739E-2</v>
      </c>
      <c r="AZ12" s="131">
        <v>118205</v>
      </c>
      <c r="BA12" s="135">
        <v>187054</v>
      </c>
      <c r="BB12" s="28"/>
      <c r="BC12" s="28"/>
    </row>
    <row r="13" spans="1:56" ht="16.2" customHeight="1" x14ac:dyDescent="0.4">
      <c r="A13" s="29" t="s">
        <v>222</v>
      </c>
      <c r="B13" s="30" t="s">
        <v>174</v>
      </c>
      <c r="C13" s="130">
        <v>2712.442</v>
      </c>
      <c r="D13" s="22">
        <f t="shared" si="0"/>
        <v>-0.49822093550266844</v>
      </c>
      <c r="E13" s="130">
        <v>5405.65</v>
      </c>
      <c r="F13" s="22">
        <f t="shared" si="1"/>
        <v>0.59160569434834454</v>
      </c>
      <c r="G13" s="131">
        <v>3396.35</v>
      </c>
      <c r="H13" s="22">
        <f t="shared" si="25"/>
        <v>1.3739078772628783</v>
      </c>
      <c r="I13" s="133">
        <f t="shared" si="2"/>
        <v>5747.1</v>
      </c>
      <c r="J13" s="130">
        <v>1430.7</v>
      </c>
      <c r="K13" s="22">
        <f t="shared" si="12"/>
        <v>-2.3945968072042523E-2</v>
      </c>
      <c r="L13" s="131">
        <v>1465.8</v>
      </c>
      <c r="M13" s="22">
        <f t="shared" si="10"/>
        <v>2.6039479210415717E-2</v>
      </c>
      <c r="N13" s="130">
        <v>1428.6</v>
      </c>
      <c r="O13" s="22">
        <f t="shared" si="3"/>
        <v>4.6413502109703408E-3</v>
      </c>
      <c r="P13" s="131">
        <v>1422</v>
      </c>
      <c r="Q13" s="22">
        <f t="shared" si="26"/>
        <v>2.302158273381294E-2</v>
      </c>
      <c r="R13" s="133">
        <f t="shared" si="27"/>
        <v>5323</v>
      </c>
      <c r="S13" s="130">
        <v>1390</v>
      </c>
      <c r="T13" s="20">
        <f t="shared" si="13"/>
        <v>3.5767511177347222E-2</v>
      </c>
      <c r="U13" s="130">
        <v>1342</v>
      </c>
      <c r="V13" s="20">
        <f t="shared" si="14"/>
        <v>3.1514219830899304E-2</v>
      </c>
      <c r="W13" s="134">
        <f>2591-Y13</f>
        <v>1301</v>
      </c>
      <c r="X13" s="20">
        <f t="shared" si="15"/>
        <v>8.5271317829458404E-3</v>
      </c>
      <c r="Y13" s="131">
        <v>1290</v>
      </c>
      <c r="Z13" s="22">
        <f t="shared" si="16"/>
        <v>-0.24693520140105074</v>
      </c>
      <c r="AA13" s="135">
        <v>11507</v>
      </c>
      <c r="AB13" s="134">
        <f t="shared" si="17"/>
        <v>1713</v>
      </c>
      <c r="AC13" s="23">
        <f t="shared" si="18"/>
        <v>-2.2260273972602773E-2</v>
      </c>
      <c r="AD13" s="131">
        <f>9794-AH13-AF13</f>
        <v>1752</v>
      </c>
      <c r="AE13" s="20">
        <f t="shared" si="19"/>
        <v>-0.39103232533889465</v>
      </c>
      <c r="AF13" s="137">
        <v>2877</v>
      </c>
      <c r="AG13" s="20">
        <f t="shared" si="20"/>
        <v>-0.44298160696999034</v>
      </c>
      <c r="AH13" s="131">
        <v>5165</v>
      </c>
      <c r="AI13" s="22">
        <f t="shared" si="5"/>
        <v>-0.89473147865076941</v>
      </c>
      <c r="AJ13" s="135">
        <v>63288</v>
      </c>
      <c r="AK13" s="134">
        <f t="shared" si="6"/>
        <v>49065</v>
      </c>
      <c r="AL13" s="23">
        <f t="shared" si="11"/>
        <v>8.7177658942364822</v>
      </c>
      <c r="AM13" s="131">
        <v>5049</v>
      </c>
      <c r="AN13" s="20">
        <f t="shared" si="7"/>
        <v>-6.7590027700831001E-2</v>
      </c>
      <c r="AO13" s="137">
        <v>5415</v>
      </c>
      <c r="AP13" s="20">
        <f t="shared" si="21"/>
        <v>0.44054269752593767</v>
      </c>
      <c r="AQ13" s="131">
        <v>3759</v>
      </c>
      <c r="AR13" s="22">
        <f t="shared" si="22"/>
        <v>-0.89108451887694495</v>
      </c>
      <c r="AS13" s="135">
        <v>196276</v>
      </c>
      <c r="AT13" s="134">
        <f t="shared" si="23"/>
        <v>34513</v>
      </c>
      <c r="AU13" s="23">
        <f t="shared" si="8"/>
        <v>-0.10038056511312687</v>
      </c>
      <c r="AV13" s="131">
        <v>38364</v>
      </c>
      <c r="AW13" s="20">
        <f t="shared" si="9"/>
        <v>-0.1714396786315926</v>
      </c>
      <c r="AX13" s="137">
        <v>46302</v>
      </c>
      <c r="AY13" s="20">
        <f t="shared" si="24"/>
        <v>-0.39943188450912492</v>
      </c>
      <c r="AZ13" s="131">
        <v>77097</v>
      </c>
      <c r="BA13" s="135">
        <v>343930</v>
      </c>
      <c r="BB13" s="28"/>
      <c r="BC13" s="28"/>
    </row>
    <row r="14" spans="1:56" ht="16.2" customHeight="1" x14ac:dyDescent="0.4">
      <c r="A14" s="29" t="s">
        <v>175</v>
      </c>
      <c r="B14" s="30" t="s">
        <v>218</v>
      </c>
      <c r="C14" s="130">
        <v>11445.129000000001</v>
      </c>
      <c r="D14" s="22">
        <f t="shared" si="0"/>
        <v>-0.36260418338570377</v>
      </c>
      <c r="E14" s="130">
        <v>17956.078000000001</v>
      </c>
      <c r="F14" s="22">
        <f t="shared" si="1"/>
        <v>-4.5258160944230963E-2</v>
      </c>
      <c r="G14" s="131">
        <v>18807.259999999998</v>
      </c>
      <c r="H14" s="22">
        <f t="shared" si="25"/>
        <v>-0.68521754176525695</v>
      </c>
      <c r="I14" s="133">
        <f t="shared" si="2"/>
        <v>69527.92300000001</v>
      </c>
      <c r="J14" s="130">
        <v>59746.849000000002</v>
      </c>
      <c r="K14" s="22">
        <f t="shared" si="12"/>
        <v>146.52308395061729</v>
      </c>
      <c r="L14" s="131">
        <v>405</v>
      </c>
      <c r="M14" s="22">
        <f t="shared" si="10"/>
        <v>-0.9114187565643076</v>
      </c>
      <c r="N14" s="130">
        <v>4572.0740000000005</v>
      </c>
      <c r="O14" s="22">
        <f t="shared" si="3"/>
        <v>-4.8277685262281378E-2</v>
      </c>
      <c r="P14" s="131">
        <v>4804</v>
      </c>
      <c r="Q14" s="22">
        <f t="shared" si="26"/>
        <v>1.1600719424460433</v>
      </c>
      <c r="R14" s="133">
        <f t="shared" si="27"/>
        <v>39811</v>
      </c>
      <c r="S14" s="130">
        <v>2224</v>
      </c>
      <c r="T14" s="20">
        <f t="shared" si="13"/>
        <v>1.0384967919340053</v>
      </c>
      <c r="U14" s="130">
        <v>1091</v>
      </c>
      <c r="V14" s="20">
        <f t="shared" si="14"/>
        <v>5.3088803088803038E-2</v>
      </c>
      <c r="W14" s="134">
        <f>36496-Y14</f>
        <v>1036</v>
      </c>
      <c r="X14" s="20">
        <f t="shared" si="15"/>
        <v>-0.97078398195149462</v>
      </c>
      <c r="Y14" s="131">
        <v>35460</v>
      </c>
      <c r="Z14" s="22">
        <f t="shared" si="16"/>
        <v>20.258992805755394</v>
      </c>
      <c r="AA14" s="135">
        <v>8713</v>
      </c>
      <c r="AB14" s="134">
        <f t="shared" si="17"/>
        <v>1668</v>
      </c>
      <c r="AC14" s="23">
        <f t="shared" si="18"/>
        <v>-0.48311124883793</v>
      </c>
      <c r="AD14" s="131">
        <f>7045-AH14-AF14</f>
        <v>3227</v>
      </c>
      <c r="AE14" s="20">
        <f t="shared" si="19"/>
        <v>-0.11902811902811905</v>
      </c>
      <c r="AF14" s="137">
        <v>3663</v>
      </c>
      <c r="AG14" s="20">
        <f t="shared" si="20"/>
        <v>22.63225806451613</v>
      </c>
      <c r="AH14" s="131">
        <v>155</v>
      </c>
      <c r="AI14" s="22">
        <f t="shared" si="5"/>
        <v>-0.92394504416094214</v>
      </c>
      <c r="AJ14" s="135">
        <v>9230</v>
      </c>
      <c r="AK14" s="134">
        <f t="shared" si="6"/>
        <v>2038</v>
      </c>
      <c r="AL14" s="23">
        <f t="shared" si="11"/>
        <v>-0.54610244988864143</v>
      </c>
      <c r="AM14" s="131">
        <v>4490</v>
      </c>
      <c r="AN14" s="20">
        <f t="shared" si="7"/>
        <v>143.83870967741936</v>
      </c>
      <c r="AO14" s="137">
        <v>31</v>
      </c>
      <c r="AP14" s="20">
        <f t="shared" si="21"/>
        <v>-0.98839385997753648</v>
      </c>
      <c r="AQ14" s="131">
        <v>2671</v>
      </c>
      <c r="AR14" s="22">
        <f t="shared" si="22"/>
        <v>-0.35091130012150673</v>
      </c>
      <c r="AS14" s="135">
        <v>13612</v>
      </c>
      <c r="AT14" s="134">
        <f t="shared" si="23"/>
        <v>4115</v>
      </c>
      <c r="AU14" s="23">
        <f t="shared" si="8"/>
        <v>0.15752461322081568</v>
      </c>
      <c r="AV14" s="131">
        <v>3555</v>
      </c>
      <c r="AW14" s="20">
        <f t="shared" si="9"/>
        <v>-0.40171659373948165</v>
      </c>
      <c r="AX14" s="137">
        <v>5942</v>
      </c>
      <c r="AY14" s="20">
        <v>0</v>
      </c>
      <c r="AZ14" s="131">
        <v>0</v>
      </c>
      <c r="BA14" s="135">
        <v>54839</v>
      </c>
      <c r="BB14" s="28"/>
      <c r="BC14" s="28"/>
    </row>
    <row r="15" spans="1:56" ht="16.2" customHeight="1" x14ac:dyDescent="0.4">
      <c r="A15" s="29" t="s">
        <v>176</v>
      </c>
      <c r="B15" s="30" t="s">
        <v>219</v>
      </c>
      <c r="C15" s="130">
        <v>15336.374</v>
      </c>
      <c r="D15" s="22">
        <f t="shared" si="0"/>
        <v>0.12999753463775021</v>
      </c>
      <c r="E15" s="130">
        <v>13572.041999999999</v>
      </c>
      <c r="F15" s="22">
        <f t="shared" si="1"/>
        <v>-0.30599827942104108</v>
      </c>
      <c r="G15" s="131">
        <v>19556.207999999999</v>
      </c>
      <c r="H15" s="22">
        <f t="shared" si="25"/>
        <v>-0.55837395906443843</v>
      </c>
      <c r="I15" s="133">
        <f t="shared" si="2"/>
        <v>90979.076000000001</v>
      </c>
      <c r="J15" s="130">
        <v>44282.28</v>
      </c>
      <c r="K15" s="22">
        <f t="shared" si="12"/>
        <v>1.1953467490140408</v>
      </c>
      <c r="L15" s="131">
        <v>20170.973000000002</v>
      </c>
      <c r="M15" s="22">
        <f t="shared" si="10"/>
        <v>0.19448003925901292</v>
      </c>
      <c r="N15" s="130">
        <v>16886.823</v>
      </c>
      <c r="O15" s="22">
        <f t="shared" si="3"/>
        <v>0.75192685963274197</v>
      </c>
      <c r="P15" s="131">
        <v>9639</v>
      </c>
      <c r="Q15" s="22">
        <f t="shared" si="26"/>
        <v>-0.23402733630006356</v>
      </c>
      <c r="R15" s="133">
        <f t="shared" si="27"/>
        <v>33751</v>
      </c>
      <c r="S15" s="130">
        <v>12584</v>
      </c>
      <c r="T15" s="20">
        <f t="shared" si="13"/>
        <v>1.969046268535779E-2</v>
      </c>
      <c r="U15" s="130">
        <v>12341</v>
      </c>
      <c r="V15" s="20">
        <f t="shared" si="14"/>
        <v>1.7152915291529154</v>
      </c>
      <c r="W15" s="134">
        <f>8826-Y15</f>
        <v>4545</v>
      </c>
      <c r="X15" s="20">
        <f t="shared" si="15"/>
        <v>6.1667834618079898E-2</v>
      </c>
      <c r="Y15" s="131">
        <v>4281</v>
      </c>
      <c r="Z15" s="22">
        <f t="shared" si="16"/>
        <v>0.18031430934656734</v>
      </c>
      <c r="AA15" s="135">
        <v>27540</v>
      </c>
      <c r="AB15" s="134">
        <f t="shared" si="17"/>
        <v>3627</v>
      </c>
      <c r="AC15" s="23">
        <f t="shared" si="18"/>
        <v>-0.42656126482213441</v>
      </c>
      <c r="AD15" s="131">
        <f>23913-AH15-AF15</f>
        <v>6325</v>
      </c>
      <c r="AE15" s="20">
        <f t="shared" si="19"/>
        <v>2.9139851485148514</v>
      </c>
      <c r="AF15" s="137">
        <v>1616</v>
      </c>
      <c r="AG15" s="20">
        <f t="shared" si="20"/>
        <v>-0.89882294014525421</v>
      </c>
      <c r="AH15" s="131">
        <v>15972</v>
      </c>
      <c r="AI15" s="22">
        <f t="shared" si="5"/>
        <v>0.55203575940141869</v>
      </c>
      <c r="AJ15" s="135">
        <v>41147</v>
      </c>
      <c r="AK15" s="134">
        <f t="shared" si="6"/>
        <v>10291</v>
      </c>
      <c r="AL15" s="23">
        <f t="shared" si="11"/>
        <v>-1.7096466093600715E-2</v>
      </c>
      <c r="AM15" s="131">
        <v>10470</v>
      </c>
      <c r="AN15" s="20">
        <f t="shared" si="7"/>
        <v>-0.33363034623217924</v>
      </c>
      <c r="AO15" s="137">
        <v>15712</v>
      </c>
      <c r="AP15" s="20">
        <f t="shared" si="21"/>
        <v>2.3615746683782626</v>
      </c>
      <c r="AQ15" s="131">
        <v>4674</v>
      </c>
      <c r="AR15" s="22">
        <f t="shared" si="22"/>
        <v>-0.74113867966326985</v>
      </c>
      <c r="AS15" s="135">
        <v>38451</v>
      </c>
      <c r="AT15" s="134">
        <f t="shared" si="23"/>
        <v>18056</v>
      </c>
      <c r="AU15" s="23">
        <f t="shared" si="8"/>
        <v>3.597911892029539</v>
      </c>
      <c r="AV15" s="131">
        <v>3927</v>
      </c>
      <c r="AW15" s="20">
        <f t="shared" si="9"/>
        <v>-0.70900333456835862</v>
      </c>
      <c r="AX15" s="137">
        <v>13495</v>
      </c>
      <c r="AY15" s="20">
        <f t="shared" ref="AY15:AY25" si="28">AX15/AZ15-1</f>
        <v>3.5391860073999331</v>
      </c>
      <c r="AZ15" s="131">
        <v>2973</v>
      </c>
      <c r="BA15" s="135">
        <v>35457</v>
      </c>
      <c r="BB15" s="28"/>
      <c r="BC15" s="28"/>
    </row>
    <row r="16" spans="1:56" ht="16.2" customHeight="1" x14ac:dyDescent="0.4">
      <c r="A16" s="29" t="s">
        <v>177</v>
      </c>
      <c r="B16" s="30" t="s">
        <v>220</v>
      </c>
      <c r="C16" s="130">
        <v>53849.182999999997</v>
      </c>
      <c r="D16" s="22">
        <f t="shared" si="0"/>
        <v>5.9625927678695234E-2</v>
      </c>
      <c r="E16" s="130">
        <v>50819.05</v>
      </c>
      <c r="F16" s="22">
        <f t="shared" si="1"/>
        <v>0.14343059170061778</v>
      </c>
      <c r="G16" s="131">
        <v>44444.368000000002</v>
      </c>
      <c r="H16" s="22">
        <f t="shared" si="25"/>
        <v>-0.13582827958900812</v>
      </c>
      <c r="I16" s="133">
        <f t="shared" si="2"/>
        <v>194300.17800000001</v>
      </c>
      <c r="J16" s="130">
        <v>51430.019</v>
      </c>
      <c r="K16" s="22">
        <f t="shared" si="12"/>
        <v>0.15700016222292601</v>
      </c>
      <c r="L16" s="131">
        <v>44451.177000000003</v>
      </c>
      <c r="M16" s="22">
        <f t="shared" si="10"/>
        <v>-0.17450616812344055</v>
      </c>
      <c r="N16" s="130">
        <v>53847.982000000004</v>
      </c>
      <c r="O16" s="22">
        <f t="shared" si="3"/>
        <v>0.20813941800722446</v>
      </c>
      <c r="P16" s="131">
        <v>44571</v>
      </c>
      <c r="Q16" s="22">
        <f t="shared" si="26"/>
        <v>8.0011631006324357E-2</v>
      </c>
      <c r="R16" s="133">
        <f t="shared" si="27"/>
        <v>162576</v>
      </c>
      <c r="S16" s="130">
        <v>41269</v>
      </c>
      <c r="T16" s="20">
        <f t="shared" si="13"/>
        <v>-7.0161998963567118E-2</v>
      </c>
      <c r="U16" s="130">
        <v>44383</v>
      </c>
      <c r="V16" s="20">
        <f t="shared" si="14"/>
        <v>5.6536850123785953E-2</v>
      </c>
      <c r="W16" s="134">
        <f>76924-Y16</f>
        <v>42008</v>
      </c>
      <c r="X16" s="20">
        <f t="shared" si="15"/>
        <v>0.20311604994844767</v>
      </c>
      <c r="Y16" s="131">
        <v>34916</v>
      </c>
      <c r="Z16" s="22">
        <f t="shared" si="16"/>
        <v>0.22770745428973282</v>
      </c>
      <c r="AA16" s="135">
        <v>124229</v>
      </c>
      <c r="AB16" s="134">
        <f t="shared" si="17"/>
        <v>28440</v>
      </c>
      <c r="AC16" s="23">
        <f t="shared" si="18"/>
        <v>-0.12586445366528354</v>
      </c>
      <c r="AD16" s="131">
        <f>95789-AH16-AF16</f>
        <v>32535</v>
      </c>
      <c r="AE16" s="20">
        <f t="shared" si="19"/>
        <v>4.3122795767874367E-2</v>
      </c>
      <c r="AF16" s="137">
        <v>31190</v>
      </c>
      <c r="AG16" s="20">
        <f t="shared" si="20"/>
        <v>-2.7257984031936133E-2</v>
      </c>
      <c r="AH16" s="131">
        <v>32064</v>
      </c>
      <c r="AI16" s="22">
        <f t="shared" si="5"/>
        <v>-0.11710769061321147</v>
      </c>
      <c r="AJ16" s="135">
        <v>119280</v>
      </c>
      <c r="AK16" s="134">
        <f t="shared" si="6"/>
        <v>36317</v>
      </c>
      <c r="AL16" s="23">
        <f t="shared" si="11"/>
        <v>0.1508746355685131</v>
      </c>
      <c r="AM16" s="131">
        <v>31556</v>
      </c>
      <c r="AN16" s="20">
        <f t="shared" si="7"/>
        <v>0.13813748827815053</v>
      </c>
      <c r="AO16" s="137">
        <v>27726</v>
      </c>
      <c r="AP16" s="20">
        <f t="shared" si="21"/>
        <v>0.17081204341032885</v>
      </c>
      <c r="AQ16" s="131">
        <v>23681</v>
      </c>
      <c r="AR16" s="22">
        <f t="shared" si="22"/>
        <v>1.1792352061525291E-2</v>
      </c>
      <c r="AS16" s="135">
        <v>58117</v>
      </c>
      <c r="AT16" s="134">
        <f t="shared" si="23"/>
        <v>23405</v>
      </c>
      <c r="AU16" s="23">
        <f t="shared" si="8"/>
        <v>0.91483269246502497</v>
      </c>
      <c r="AV16" s="131">
        <v>12223</v>
      </c>
      <c r="AW16" s="20">
        <f t="shared" si="9"/>
        <v>0.10725609203732223</v>
      </c>
      <c r="AX16" s="137">
        <v>11039</v>
      </c>
      <c r="AY16" s="20">
        <f t="shared" si="28"/>
        <v>-3.5895196506550264E-2</v>
      </c>
      <c r="AZ16" s="131">
        <v>11450</v>
      </c>
      <c r="BA16" s="135">
        <v>49734</v>
      </c>
      <c r="BB16" s="28"/>
      <c r="BC16" s="28"/>
    </row>
    <row r="17" spans="1:55" ht="16.2" customHeight="1" x14ac:dyDescent="0.4">
      <c r="A17" s="29" t="s">
        <v>178</v>
      </c>
      <c r="B17" s="31" t="s">
        <v>221</v>
      </c>
      <c r="C17" s="130">
        <v>2213293.5150000001</v>
      </c>
      <c r="D17" s="22">
        <f t="shared" si="0"/>
        <v>-3.027815937140399E-2</v>
      </c>
      <c r="E17" s="130">
        <v>2282400.398</v>
      </c>
      <c r="F17" s="22">
        <f t="shared" si="1"/>
        <v>7.8811017325909782E-2</v>
      </c>
      <c r="G17" s="131">
        <v>2115662.8560000001</v>
      </c>
      <c r="H17" s="22">
        <f t="shared" si="25"/>
        <v>0.60888068819099828</v>
      </c>
      <c r="I17" s="133">
        <f t="shared" si="2"/>
        <v>4429777.1060000006</v>
      </c>
      <c r="J17" s="130">
        <v>1314990.5220000001</v>
      </c>
      <c r="K17" s="22">
        <f t="shared" si="12"/>
        <v>0.31036308353064745</v>
      </c>
      <c r="L17" s="131">
        <v>1003531.417</v>
      </c>
      <c r="M17" s="22">
        <f t="shared" si="10"/>
        <v>-1.4619457157705629E-2</v>
      </c>
      <c r="N17" s="130">
        <v>1018420.1669999999</v>
      </c>
      <c r="O17" s="22">
        <f t="shared" si="3"/>
        <v>-6.80933837221539E-2</v>
      </c>
      <c r="P17" s="131">
        <v>1092835</v>
      </c>
      <c r="Q17" s="22">
        <f t="shared" si="26"/>
        <v>0.1123976246266849</v>
      </c>
      <c r="R17" s="133">
        <f t="shared" si="27"/>
        <v>4700593</v>
      </c>
      <c r="S17" s="130">
        <v>982414</v>
      </c>
      <c r="T17" s="20">
        <f t="shared" si="13"/>
        <v>-0.20277499164159141</v>
      </c>
      <c r="U17" s="130">
        <v>1232292</v>
      </c>
      <c r="V17" s="20">
        <f t="shared" si="14"/>
        <v>-0.26871153411346649</v>
      </c>
      <c r="W17" s="134">
        <f>2485887-Y17</f>
        <v>1685097</v>
      </c>
      <c r="X17" s="20">
        <f t="shared" si="15"/>
        <v>1.1042932604053499</v>
      </c>
      <c r="Y17" s="131">
        <v>800790</v>
      </c>
      <c r="Z17" s="22">
        <f t="shared" si="16"/>
        <v>-0.4924091785838115</v>
      </c>
      <c r="AA17" s="135">
        <v>3115050</v>
      </c>
      <c r="AB17" s="134">
        <f t="shared" si="17"/>
        <v>1577629</v>
      </c>
      <c r="AC17" s="23">
        <f t="shared" si="18"/>
        <v>2.2593148870850781</v>
      </c>
      <c r="AD17" s="131">
        <f>1537421-AH17-AF17</f>
        <v>484037</v>
      </c>
      <c r="AE17" s="20">
        <f t="shared" si="19"/>
        <v>-0.25734656710143344</v>
      </c>
      <c r="AF17" s="137">
        <v>651767</v>
      </c>
      <c r="AG17" s="20">
        <f t="shared" si="20"/>
        <v>0.62285710017255247</v>
      </c>
      <c r="AH17" s="131">
        <v>401617</v>
      </c>
      <c r="AI17" s="22">
        <f t="shared" si="5"/>
        <v>-0.24093593778054978</v>
      </c>
      <c r="AJ17" s="135">
        <v>1923598</v>
      </c>
      <c r="AK17" s="134">
        <f t="shared" si="6"/>
        <v>529095</v>
      </c>
      <c r="AL17" s="23">
        <f t="shared" si="11"/>
        <v>7.8902301729868451E-3</v>
      </c>
      <c r="AM17" s="131">
        <v>524953</v>
      </c>
      <c r="AN17" s="20">
        <f t="shared" si="7"/>
        <v>-4.4923541558642421E-2</v>
      </c>
      <c r="AO17" s="137">
        <v>549645</v>
      </c>
      <c r="AP17" s="20">
        <f t="shared" si="21"/>
        <v>0.71815070098935618</v>
      </c>
      <c r="AQ17" s="131">
        <v>319905</v>
      </c>
      <c r="AR17" s="22">
        <f t="shared" si="22"/>
        <v>2.2622063142437594</v>
      </c>
      <c r="AS17" s="135">
        <v>1528768</v>
      </c>
      <c r="AT17" s="134">
        <f t="shared" si="23"/>
        <v>98064</v>
      </c>
      <c r="AU17" s="23">
        <f t="shared" si="8"/>
        <v>-0.76155230267957008</v>
      </c>
      <c r="AV17" s="131">
        <v>411260</v>
      </c>
      <c r="AW17" s="20">
        <f t="shared" si="9"/>
        <v>-0.26124850906060038</v>
      </c>
      <c r="AX17" s="137">
        <v>556696</v>
      </c>
      <c r="AY17" s="20">
        <f t="shared" si="28"/>
        <v>0.20302194715050081</v>
      </c>
      <c r="AZ17" s="131">
        <v>462748</v>
      </c>
      <c r="BA17" s="135">
        <v>1527058</v>
      </c>
      <c r="BB17" s="28"/>
      <c r="BC17" s="28"/>
    </row>
    <row r="18" spans="1:55" ht="16.2" customHeight="1" x14ac:dyDescent="0.4">
      <c r="A18" s="29" t="s">
        <v>179</v>
      </c>
      <c r="B18" s="30" t="s">
        <v>223</v>
      </c>
      <c r="C18" s="130">
        <v>79050.153000000006</v>
      </c>
      <c r="D18" s="22">
        <f t="shared" si="0"/>
        <v>-0.3966356192469308</v>
      </c>
      <c r="E18" s="130">
        <v>131015.611</v>
      </c>
      <c r="F18" s="22">
        <f t="shared" si="1"/>
        <v>-1.4792046962808225E-3</v>
      </c>
      <c r="G18" s="131">
        <v>131209.69699999999</v>
      </c>
      <c r="H18" s="22">
        <f t="shared" si="25"/>
        <v>-0.14777839877538057</v>
      </c>
      <c r="I18" s="133">
        <f t="shared" si="2"/>
        <v>398529.85499999998</v>
      </c>
      <c r="J18" s="130">
        <v>153961.94699999999</v>
      </c>
      <c r="K18" s="22">
        <f t="shared" si="12"/>
        <v>0.92184324605654822</v>
      </c>
      <c r="L18" s="131">
        <v>80111.604999999996</v>
      </c>
      <c r="M18" s="22">
        <f t="shared" si="10"/>
        <v>-0.12047715315828744</v>
      </c>
      <c r="N18" s="130">
        <v>91085.303000000014</v>
      </c>
      <c r="O18" s="22">
        <f t="shared" si="3"/>
        <v>0.24143466764798105</v>
      </c>
      <c r="P18" s="131">
        <v>73371</v>
      </c>
      <c r="Q18" s="22">
        <f t="shared" si="26"/>
        <v>0.72309245907799258</v>
      </c>
      <c r="R18" s="133">
        <f t="shared" si="27"/>
        <v>121602</v>
      </c>
      <c r="S18" s="130">
        <v>42581</v>
      </c>
      <c r="T18" s="20">
        <f t="shared" si="13"/>
        <v>0.71683735182646569</v>
      </c>
      <c r="U18" s="130">
        <v>24802</v>
      </c>
      <c r="V18" s="20">
        <f t="shared" si="14"/>
        <v>-3.3889062013088167E-2</v>
      </c>
      <c r="W18" s="134">
        <f>54219-Y18</f>
        <v>25672</v>
      </c>
      <c r="X18" s="20">
        <f t="shared" si="15"/>
        <v>-0.10071110799733773</v>
      </c>
      <c r="Y18" s="131">
        <v>28547</v>
      </c>
      <c r="Z18" s="22">
        <f t="shared" si="16"/>
        <v>-0.22496131186707569</v>
      </c>
      <c r="AA18" s="135">
        <v>179454</v>
      </c>
      <c r="AB18" s="134">
        <f t="shared" si="17"/>
        <v>36833</v>
      </c>
      <c r="AC18" s="23">
        <f t="shared" si="18"/>
        <v>0.1459817678354749</v>
      </c>
      <c r="AD18" s="131">
        <f>142621-AH18-AF18</f>
        <v>32141</v>
      </c>
      <c r="AE18" s="20">
        <f t="shared" si="19"/>
        <v>-0.45132214616159372</v>
      </c>
      <c r="AF18" s="137">
        <v>58579</v>
      </c>
      <c r="AG18" s="20">
        <f t="shared" si="20"/>
        <v>0.12866804107820662</v>
      </c>
      <c r="AH18" s="131">
        <v>51901</v>
      </c>
      <c r="AI18" s="22">
        <f t="shared" si="5"/>
        <v>-0.16839980131707555</v>
      </c>
      <c r="AJ18" s="135">
        <v>306475</v>
      </c>
      <c r="AK18" s="134">
        <f t="shared" si="6"/>
        <v>62411</v>
      </c>
      <c r="AL18" s="23">
        <f t="shared" si="11"/>
        <v>-0.17391131700860363</v>
      </c>
      <c r="AM18" s="131">
        <v>75550</v>
      </c>
      <c r="AN18" s="20">
        <f t="shared" si="7"/>
        <v>-0.21900843532914327</v>
      </c>
      <c r="AO18" s="137">
        <v>96736</v>
      </c>
      <c r="AP18" s="20">
        <f t="shared" si="21"/>
        <v>0.34771099779876846</v>
      </c>
      <c r="AQ18" s="131">
        <v>71778</v>
      </c>
      <c r="AR18" s="22">
        <f t="shared" si="22"/>
        <v>-0.25021936238666276</v>
      </c>
      <c r="AS18" s="135">
        <v>326063</v>
      </c>
      <c r="AT18" s="134">
        <f t="shared" si="23"/>
        <v>95732</v>
      </c>
      <c r="AU18" s="23">
        <f t="shared" si="8"/>
        <v>1.128418337854062</v>
      </c>
      <c r="AV18" s="131">
        <v>44978</v>
      </c>
      <c r="AW18" s="20">
        <f t="shared" si="9"/>
        <v>-0.62260129720840074</v>
      </c>
      <c r="AX18" s="137">
        <v>119179</v>
      </c>
      <c r="AY18" s="20">
        <f t="shared" si="28"/>
        <v>0.80099434823344517</v>
      </c>
      <c r="AZ18" s="131">
        <v>66174</v>
      </c>
      <c r="BA18" s="135">
        <v>280165</v>
      </c>
      <c r="BB18" s="28"/>
      <c r="BC18" s="28"/>
    </row>
    <row r="19" spans="1:55" ht="16.2" customHeight="1" x14ac:dyDescent="0.4">
      <c r="A19" s="29" t="s">
        <v>180</v>
      </c>
      <c r="B19" s="30" t="s">
        <v>226</v>
      </c>
      <c r="C19" s="130">
        <v>6124.335</v>
      </c>
      <c r="D19" s="22">
        <f t="shared" si="0"/>
        <v>0.31706129032258068</v>
      </c>
      <c r="E19" s="130">
        <v>4650</v>
      </c>
      <c r="F19" s="22">
        <f t="shared" si="1"/>
        <v>2.161114887831407</v>
      </c>
      <c r="G19" s="131">
        <v>1471</v>
      </c>
      <c r="H19" s="22">
        <f t="shared" si="25"/>
        <v>1.83976833976834</v>
      </c>
      <c r="I19" s="133">
        <f t="shared" si="2"/>
        <v>4674.9949999999999</v>
      </c>
      <c r="J19" s="130">
        <v>518</v>
      </c>
      <c r="K19" s="22">
        <f t="shared" si="12"/>
        <v>-0.46542827657378738</v>
      </c>
      <c r="L19" s="131">
        <v>969</v>
      </c>
      <c r="M19" s="22">
        <f t="shared" si="10"/>
        <v>-0.56798833702259699</v>
      </c>
      <c r="N19" s="130">
        <v>2242.9949999999999</v>
      </c>
      <c r="O19" s="22">
        <f t="shared" si="3"/>
        <v>1.3735396825396826</v>
      </c>
      <c r="P19" s="131">
        <v>945</v>
      </c>
      <c r="Q19" s="22">
        <f t="shared" si="26"/>
        <v>-0.53676470588235292</v>
      </c>
      <c r="R19" s="133">
        <f t="shared" si="27"/>
        <v>4430</v>
      </c>
      <c r="S19" s="130">
        <v>2040</v>
      </c>
      <c r="T19" s="20">
        <f t="shared" si="13"/>
        <v>6.0344827586206895</v>
      </c>
      <c r="U19" s="130">
        <v>290</v>
      </c>
      <c r="V19" s="20">
        <f t="shared" si="14"/>
        <v>-0.83060747663551404</v>
      </c>
      <c r="W19" s="134">
        <f>2100-Y19</f>
        <v>1712</v>
      </c>
      <c r="X19" s="20">
        <f t="shared" si="15"/>
        <v>3.4123711340206189</v>
      </c>
      <c r="Y19" s="131">
        <v>388</v>
      </c>
      <c r="Z19" s="22">
        <f t="shared" si="16"/>
        <v>-0.85860058309037901</v>
      </c>
      <c r="AA19" s="135">
        <v>9203</v>
      </c>
      <c r="AB19" s="134">
        <f t="shared" si="17"/>
        <v>2744</v>
      </c>
      <c r="AC19" s="23">
        <f t="shared" si="18"/>
        <v>0.72904851921865155</v>
      </c>
      <c r="AD19" s="131">
        <f>6459-AH19-AF19</f>
        <v>1587</v>
      </c>
      <c r="AE19" s="20">
        <f t="shared" si="19"/>
        <v>-0.51467889908256881</v>
      </c>
      <c r="AF19" s="137">
        <v>3270</v>
      </c>
      <c r="AG19" s="20">
        <f t="shared" si="20"/>
        <v>1.0411985018726591</v>
      </c>
      <c r="AH19" s="131">
        <v>1602</v>
      </c>
      <c r="AI19" s="22">
        <f t="shared" si="5"/>
        <v>-0.41254125412541254</v>
      </c>
      <c r="AJ19" s="135">
        <v>8790</v>
      </c>
      <c r="AK19" s="134">
        <f t="shared" si="6"/>
        <v>2727</v>
      </c>
      <c r="AL19" s="23">
        <f t="shared" si="11"/>
        <v>0.32700729927007299</v>
      </c>
      <c r="AM19" s="131">
        <v>2055</v>
      </c>
      <c r="AN19" s="20">
        <f t="shared" si="7"/>
        <v>0.13661504424778759</v>
      </c>
      <c r="AO19" s="137">
        <v>1808</v>
      </c>
      <c r="AP19" s="20">
        <f t="shared" si="21"/>
        <v>-0.17818181818181822</v>
      </c>
      <c r="AQ19" s="131">
        <v>2200</v>
      </c>
      <c r="AR19" s="22">
        <f t="shared" si="22"/>
        <v>4.4455445544554459</v>
      </c>
      <c r="AS19" s="135">
        <v>7493</v>
      </c>
      <c r="AT19" s="134">
        <f t="shared" si="23"/>
        <v>404</v>
      </c>
      <c r="AU19" s="23">
        <f t="shared" si="8"/>
        <v>-0.88036718981344386</v>
      </c>
      <c r="AV19" s="131">
        <v>3377</v>
      </c>
      <c r="AW19" s="20">
        <f t="shared" si="9"/>
        <v>0.18992248062015493</v>
      </c>
      <c r="AX19" s="137">
        <v>2838</v>
      </c>
      <c r="AY19" s="20">
        <f t="shared" si="28"/>
        <v>2.2471395881006866</v>
      </c>
      <c r="AZ19" s="131">
        <v>874</v>
      </c>
      <c r="BA19" s="135">
        <v>5416</v>
      </c>
      <c r="BB19" s="28"/>
      <c r="BC19" s="28"/>
    </row>
    <row r="20" spans="1:55" ht="16.2" customHeight="1" x14ac:dyDescent="0.4">
      <c r="A20" s="29" t="s">
        <v>181</v>
      </c>
      <c r="B20" s="30" t="s">
        <v>225</v>
      </c>
      <c r="C20" s="130">
        <v>19258.518</v>
      </c>
      <c r="D20" s="22">
        <f t="shared" si="0"/>
        <v>-0.67226114784577917</v>
      </c>
      <c r="E20" s="130">
        <v>58761.779000000002</v>
      </c>
      <c r="F20" s="22">
        <f t="shared" si="1"/>
        <v>-9.5260391911601738E-2</v>
      </c>
      <c r="G20" s="131">
        <v>64948.83</v>
      </c>
      <c r="H20" s="22">
        <f t="shared" si="25"/>
        <v>-8.386741206384718E-3</v>
      </c>
      <c r="I20" s="133">
        <f t="shared" si="2"/>
        <v>270253.55499999999</v>
      </c>
      <c r="J20" s="130">
        <v>65498.146000000001</v>
      </c>
      <c r="K20" s="22">
        <f t="shared" si="12"/>
        <v>0.32907801237108347</v>
      </c>
      <c r="L20" s="131">
        <v>49280.889000000003</v>
      </c>
      <c r="M20" s="22">
        <f t="shared" si="10"/>
        <v>0.93072735549973218</v>
      </c>
      <c r="N20" s="130">
        <v>25524.51999999999</v>
      </c>
      <c r="O20" s="22">
        <f t="shared" si="3"/>
        <v>-0.80358199307425937</v>
      </c>
      <c r="P20" s="131">
        <v>129950</v>
      </c>
      <c r="Q20" s="22">
        <f t="shared" si="26"/>
        <v>-3.4661555832887658E-2</v>
      </c>
      <c r="R20" s="133">
        <f t="shared" si="27"/>
        <v>263760</v>
      </c>
      <c r="S20" s="130">
        <v>134616</v>
      </c>
      <c r="T20" s="20">
        <f t="shared" si="13"/>
        <v>11.709214501510575</v>
      </c>
      <c r="U20" s="130">
        <v>10592</v>
      </c>
      <c r="V20" s="20">
        <f t="shared" si="14"/>
        <v>-0.35786602000606249</v>
      </c>
      <c r="W20" s="134">
        <f>118552-Y20</f>
        <v>16495</v>
      </c>
      <c r="X20" s="20">
        <f t="shared" si="15"/>
        <v>-0.83837463378308197</v>
      </c>
      <c r="Y20" s="131">
        <v>102057</v>
      </c>
      <c r="Z20" s="22">
        <f t="shared" si="16"/>
        <v>1.364784391871539</v>
      </c>
      <c r="AA20" s="135">
        <v>190558</v>
      </c>
      <c r="AB20" s="134">
        <f t="shared" si="17"/>
        <v>43157</v>
      </c>
      <c r="AC20" s="23">
        <f t="shared" si="18"/>
        <v>0.47484792563734546</v>
      </c>
      <c r="AD20" s="131">
        <f>147401-AH20-AF20</f>
        <v>29262</v>
      </c>
      <c r="AE20" s="20">
        <f t="shared" si="19"/>
        <v>-0.51807506711243589</v>
      </c>
      <c r="AF20" s="137">
        <v>60719</v>
      </c>
      <c r="AG20" s="20">
        <f t="shared" si="20"/>
        <v>5.7453848833159071E-2</v>
      </c>
      <c r="AH20" s="131">
        <v>57420</v>
      </c>
      <c r="AI20" s="22">
        <f t="shared" si="5"/>
        <v>-1.1142301134895893E-2</v>
      </c>
      <c r="AJ20" s="135">
        <v>199425</v>
      </c>
      <c r="AK20" s="134">
        <f t="shared" si="6"/>
        <v>58067</v>
      </c>
      <c r="AL20" s="23">
        <f t="shared" si="11"/>
        <v>0.4178590613859452</v>
      </c>
      <c r="AM20" s="131">
        <v>40954</v>
      </c>
      <c r="AN20" s="20">
        <f t="shared" si="7"/>
        <v>-0.21847985802339565</v>
      </c>
      <c r="AO20" s="137">
        <v>52403</v>
      </c>
      <c r="AP20" s="20">
        <f t="shared" si="21"/>
        <v>9.1706422782858787E-2</v>
      </c>
      <c r="AQ20" s="131">
        <v>48001</v>
      </c>
      <c r="AR20" s="22">
        <f t="shared" si="22"/>
        <v>-0.10927815921321204</v>
      </c>
      <c r="AS20" s="135">
        <v>153516</v>
      </c>
      <c r="AT20" s="134">
        <f t="shared" si="23"/>
        <v>53890</v>
      </c>
      <c r="AU20" s="23">
        <f t="shared" si="8"/>
        <v>0.67630956824685828</v>
      </c>
      <c r="AV20" s="131">
        <v>32148</v>
      </c>
      <c r="AW20" s="20">
        <f t="shared" si="9"/>
        <v>-0.16407509490873162</v>
      </c>
      <c r="AX20" s="137">
        <v>38458</v>
      </c>
      <c r="AY20" s="20">
        <f t="shared" si="28"/>
        <v>0.32522398345968306</v>
      </c>
      <c r="AZ20" s="131">
        <v>29020</v>
      </c>
      <c r="BA20" s="135">
        <v>151754</v>
      </c>
      <c r="BB20" s="28"/>
      <c r="BC20" s="28"/>
    </row>
    <row r="21" spans="1:55" ht="16.2" customHeight="1" x14ac:dyDescent="0.4">
      <c r="A21" s="29" t="s">
        <v>182</v>
      </c>
      <c r="B21" s="30" t="s">
        <v>227</v>
      </c>
      <c r="C21" s="130">
        <v>6524.5360000000001</v>
      </c>
      <c r="D21" s="22">
        <f t="shared" si="0"/>
        <v>0.88931887020831768</v>
      </c>
      <c r="E21" s="130">
        <v>3453.38</v>
      </c>
      <c r="F21" s="22">
        <f t="shared" si="1"/>
        <v>-0.37038977026039799</v>
      </c>
      <c r="G21" s="131">
        <v>5484.9489999999996</v>
      </c>
      <c r="H21" s="22">
        <f t="shared" si="25"/>
        <v>-0.46647817656594737</v>
      </c>
      <c r="I21" s="133">
        <f t="shared" si="2"/>
        <v>22552.302</v>
      </c>
      <c r="J21" s="130">
        <v>10280.646000000001</v>
      </c>
      <c r="K21" s="22">
        <f t="shared" si="12"/>
        <v>1.3734247613911461</v>
      </c>
      <c r="L21" s="131">
        <v>4331.5659999999998</v>
      </c>
      <c r="M21" s="22">
        <f t="shared" si="10"/>
        <v>0.28758921431947404</v>
      </c>
      <c r="N21" s="130">
        <v>3364.09</v>
      </c>
      <c r="O21" s="22">
        <f t="shared" si="3"/>
        <v>-0.26484047202797201</v>
      </c>
      <c r="P21" s="131">
        <v>4576</v>
      </c>
      <c r="Q21" s="22">
        <f t="shared" si="26"/>
        <v>1.8699910952804988E-2</v>
      </c>
      <c r="R21" s="133">
        <f t="shared" si="27"/>
        <v>13427</v>
      </c>
      <c r="S21" s="130">
        <v>4492</v>
      </c>
      <c r="T21" s="20">
        <f t="shared" si="13"/>
        <v>0.64421669106881407</v>
      </c>
      <c r="U21" s="130">
        <v>2732</v>
      </c>
      <c r="V21" s="20">
        <f t="shared" si="14"/>
        <v>-0.17586726998491709</v>
      </c>
      <c r="W21" s="134">
        <f>6203-Y21</f>
        <v>3315</v>
      </c>
      <c r="X21" s="20">
        <f t="shared" si="15"/>
        <v>0.14785318559556782</v>
      </c>
      <c r="Y21" s="131">
        <v>2888</v>
      </c>
      <c r="Z21" s="22">
        <f t="shared" si="16"/>
        <v>-0.63452290559352065</v>
      </c>
      <c r="AA21" s="135">
        <v>26234</v>
      </c>
      <c r="AB21" s="134">
        <f t="shared" si="17"/>
        <v>7902</v>
      </c>
      <c r="AC21" s="23">
        <f t="shared" si="18"/>
        <v>0.40230700976042599</v>
      </c>
      <c r="AD21" s="131">
        <f>18332-AH21-AF21</f>
        <v>5635</v>
      </c>
      <c r="AE21" s="20">
        <f t="shared" si="19"/>
        <v>6.824644549763037E-2</v>
      </c>
      <c r="AF21" s="137">
        <v>5275</v>
      </c>
      <c r="AG21" s="20">
        <f t="shared" si="20"/>
        <v>-0.28927512799784427</v>
      </c>
      <c r="AH21" s="131">
        <v>7422</v>
      </c>
      <c r="AI21" s="22">
        <f t="shared" si="5"/>
        <v>-0.32966040462427748</v>
      </c>
      <c r="AJ21" s="135">
        <v>48650</v>
      </c>
      <c r="AK21" s="134">
        <f t="shared" si="6"/>
        <v>11072</v>
      </c>
      <c r="AL21" s="23">
        <f t="shared" si="11"/>
        <v>-6.6048080978490131E-2</v>
      </c>
      <c r="AM21" s="131">
        <v>11855</v>
      </c>
      <c r="AN21" s="20">
        <f t="shared" si="7"/>
        <v>-6.3881869867340457E-2</v>
      </c>
      <c r="AO21" s="137">
        <v>12664</v>
      </c>
      <c r="AP21" s="20">
        <f t="shared" si="21"/>
        <v>-3.0247338999923379E-2</v>
      </c>
      <c r="AQ21" s="131">
        <v>13059</v>
      </c>
      <c r="AR21" s="22">
        <f t="shared" si="22"/>
        <v>8.9975795008763848E-2</v>
      </c>
      <c r="AS21" s="135">
        <v>38475</v>
      </c>
      <c r="AT21" s="134">
        <f t="shared" si="23"/>
        <v>11981</v>
      </c>
      <c r="AU21" s="23">
        <f t="shared" si="8"/>
        <v>0.2924487594390508</v>
      </c>
      <c r="AV21" s="131">
        <v>9270</v>
      </c>
      <c r="AW21" s="20">
        <f t="shared" si="9"/>
        <v>8.9434716182865248E-2</v>
      </c>
      <c r="AX21" s="137">
        <v>8509</v>
      </c>
      <c r="AY21" s="20">
        <f t="shared" si="28"/>
        <v>-2.3637406769936864E-2</v>
      </c>
      <c r="AZ21" s="131">
        <v>8715</v>
      </c>
      <c r="BA21" s="135">
        <v>34146</v>
      </c>
      <c r="BB21" s="28"/>
      <c r="BC21" s="28"/>
    </row>
    <row r="22" spans="1:55" ht="16.2" customHeight="1" x14ac:dyDescent="0.4">
      <c r="A22" s="29" t="s">
        <v>183</v>
      </c>
      <c r="B22" s="30" t="s">
        <v>228</v>
      </c>
      <c r="C22" s="130">
        <v>26903.271000000001</v>
      </c>
      <c r="D22" s="22">
        <f t="shared" si="0"/>
        <v>-0.59613595335273883</v>
      </c>
      <c r="E22" s="130">
        <v>66614.672000000006</v>
      </c>
      <c r="F22" s="22">
        <f t="shared" si="1"/>
        <v>3.3993927269355515</v>
      </c>
      <c r="G22" s="131">
        <v>15141.788</v>
      </c>
      <c r="H22" s="22">
        <f t="shared" si="25"/>
        <v>-0.39896095239705687</v>
      </c>
      <c r="I22" s="133">
        <f t="shared" si="2"/>
        <v>144542.31900000002</v>
      </c>
      <c r="J22" s="130">
        <v>25192.686000000002</v>
      </c>
      <c r="K22" s="22">
        <f t="shared" si="12"/>
        <v>-0.32883935421994881</v>
      </c>
      <c r="L22" s="131">
        <v>37536</v>
      </c>
      <c r="M22" s="22">
        <f t="shared" si="10"/>
        <v>-6.1594233500588125E-3</v>
      </c>
      <c r="N22" s="130">
        <v>37768.633000000002</v>
      </c>
      <c r="O22" s="22">
        <f t="shared" si="3"/>
        <v>-0.14249896696560327</v>
      </c>
      <c r="P22" s="131">
        <v>44045</v>
      </c>
      <c r="Q22" s="22">
        <f t="shared" si="26"/>
        <v>-0.42703455094182541</v>
      </c>
      <c r="R22" s="133">
        <f t="shared" si="27"/>
        <v>160898</v>
      </c>
      <c r="S22" s="130">
        <v>76872</v>
      </c>
      <c r="T22" s="20">
        <f t="shared" si="13"/>
        <v>1.2690162047285929</v>
      </c>
      <c r="U22" s="130">
        <v>33879</v>
      </c>
      <c r="V22" s="20">
        <f t="shared" si="14"/>
        <v>0.69073759856273087</v>
      </c>
      <c r="W22" s="134">
        <f>50147-Y22</f>
        <v>20038</v>
      </c>
      <c r="X22" s="20">
        <f t="shared" si="15"/>
        <v>-0.33448470556976317</v>
      </c>
      <c r="Y22" s="131">
        <v>30109</v>
      </c>
      <c r="Z22" s="22">
        <f t="shared" si="16"/>
        <v>0.13790627362055941</v>
      </c>
      <c r="AA22" s="135">
        <v>130805</v>
      </c>
      <c r="AB22" s="134">
        <f t="shared" si="17"/>
        <v>26460</v>
      </c>
      <c r="AC22" s="23">
        <f t="shared" si="18"/>
        <v>0.24079718640093795</v>
      </c>
      <c r="AD22" s="131">
        <f>104345-AH22-AF22</f>
        <v>21325</v>
      </c>
      <c r="AE22" s="20">
        <f t="shared" si="19"/>
        <v>0.27480870396939272</v>
      </c>
      <c r="AF22" s="137">
        <v>16728</v>
      </c>
      <c r="AG22" s="20">
        <f t="shared" si="20"/>
        <v>-0.74766185965123999</v>
      </c>
      <c r="AH22" s="131">
        <v>66292</v>
      </c>
      <c r="AI22" s="22">
        <f t="shared" si="5"/>
        <v>2.8609202096680257</v>
      </c>
      <c r="AJ22" s="135">
        <v>252998</v>
      </c>
      <c r="AK22" s="134">
        <f t="shared" si="6"/>
        <v>17170</v>
      </c>
      <c r="AL22" s="23">
        <f t="shared" si="11"/>
        <v>-0.60540528118033698</v>
      </c>
      <c r="AM22" s="131">
        <v>43513</v>
      </c>
      <c r="AN22" s="20">
        <f t="shared" si="7"/>
        <v>-0.37080845033763754</v>
      </c>
      <c r="AO22" s="137">
        <v>69157</v>
      </c>
      <c r="AP22" s="20">
        <f t="shared" si="21"/>
        <v>-0.4384692833595869</v>
      </c>
      <c r="AQ22" s="131">
        <v>123158</v>
      </c>
      <c r="AR22" s="22">
        <f t="shared" si="22"/>
        <v>0.9758390553808638</v>
      </c>
      <c r="AS22" s="135">
        <v>253261</v>
      </c>
      <c r="AT22" s="134">
        <f t="shared" si="23"/>
        <v>62332</v>
      </c>
      <c r="AU22" s="23">
        <f t="shared" si="8"/>
        <v>0.13045213007127443</v>
      </c>
      <c r="AV22" s="131">
        <v>55139</v>
      </c>
      <c r="AW22" s="20">
        <f t="shared" si="9"/>
        <v>-0.12059011164274325</v>
      </c>
      <c r="AX22" s="137">
        <v>62700</v>
      </c>
      <c r="AY22" s="20">
        <f t="shared" si="28"/>
        <v>-0.1421535093720071</v>
      </c>
      <c r="AZ22" s="131">
        <v>73090</v>
      </c>
      <c r="BA22" s="135">
        <v>199616</v>
      </c>
      <c r="BB22" s="28"/>
      <c r="BC22" s="28"/>
    </row>
    <row r="23" spans="1:55" ht="16.2" customHeight="1" x14ac:dyDescent="0.4">
      <c r="A23" s="29" t="s">
        <v>184</v>
      </c>
      <c r="B23" s="30" t="s">
        <v>236</v>
      </c>
      <c r="C23" s="130">
        <v>1980743.3529999999</v>
      </c>
      <c r="D23" s="22">
        <f t="shared" si="0"/>
        <v>0.89861487808515617</v>
      </c>
      <c r="E23" s="130">
        <v>1043257.048</v>
      </c>
      <c r="F23" s="22">
        <f t="shared" si="1"/>
        <v>-0.41003901413776067</v>
      </c>
      <c r="G23" s="131">
        <v>1768349.2180000001</v>
      </c>
      <c r="H23" s="22">
        <f t="shared" si="25"/>
        <v>-0.5075075825463673</v>
      </c>
      <c r="I23" s="133">
        <f t="shared" si="2"/>
        <v>6676409.8190000001</v>
      </c>
      <c r="J23" s="130">
        <v>3590612.0690000001</v>
      </c>
      <c r="K23" s="22">
        <f t="shared" si="12"/>
        <v>2.1813194557744864</v>
      </c>
      <c r="L23" s="131">
        <v>1128654.987</v>
      </c>
      <c r="M23" s="22">
        <f t="shared" si="10"/>
        <v>0.11971877681558474</v>
      </c>
      <c r="N23" s="130">
        <v>1007980.763</v>
      </c>
      <c r="O23" s="22">
        <f t="shared" si="3"/>
        <v>6.1969150682391394E-2</v>
      </c>
      <c r="P23" s="131">
        <v>949162</v>
      </c>
      <c r="Q23" s="22">
        <f t="shared" si="26"/>
        <v>0.23470636825433999</v>
      </c>
      <c r="R23" s="133">
        <f t="shared" si="27"/>
        <v>2264782</v>
      </c>
      <c r="S23" s="130">
        <v>768735</v>
      </c>
      <c r="T23" s="20">
        <f t="shared" si="13"/>
        <v>0.50660862884670421</v>
      </c>
      <c r="U23" s="130">
        <v>510242</v>
      </c>
      <c r="V23" s="20">
        <f t="shared" si="14"/>
        <v>0.10475947152588017</v>
      </c>
      <c r="W23" s="134">
        <f>985805-Y23</f>
        <v>461858</v>
      </c>
      <c r="X23" s="20">
        <f t="shared" si="15"/>
        <v>-0.11850244394948339</v>
      </c>
      <c r="Y23" s="131">
        <v>523947</v>
      </c>
      <c r="Z23" s="22">
        <f t="shared" si="16"/>
        <v>-0.53812689748553422</v>
      </c>
      <c r="AA23" s="135">
        <v>2825794</v>
      </c>
      <c r="AB23" s="134">
        <f t="shared" si="17"/>
        <v>1134396</v>
      </c>
      <c r="AC23" s="23">
        <f t="shared" si="18"/>
        <v>0.95438264617865509</v>
      </c>
      <c r="AD23" s="131">
        <f>1691398-AH23-AF23</f>
        <v>580437</v>
      </c>
      <c r="AE23" s="20">
        <f t="shared" si="19"/>
        <v>-3.3466825414005807E-2</v>
      </c>
      <c r="AF23" s="137">
        <v>600535</v>
      </c>
      <c r="AG23" s="20">
        <f t="shared" si="20"/>
        <v>0.17653685353018855</v>
      </c>
      <c r="AH23" s="131">
        <v>510426</v>
      </c>
      <c r="AI23" s="22">
        <f t="shared" si="5"/>
        <v>-0.15970268423781964</v>
      </c>
      <c r="AJ23" s="135">
        <v>2541002</v>
      </c>
      <c r="AK23" s="134">
        <f t="shared" si="6"/>
        <v>607435</v>
      </c>
      <c r="AL23" s="23">
        <f t="shared" si="11"/>
        <v>8.6280463815389563E-2</v>
      </c>
      <c r="AM23" s="131">
        <v>559188</v>
      </c>
      <c r="AN23" s="20">
        <f t="shared" si="7"/>
        <v>-0.24869809160920708</v>
      </c>
      <c r="AO23" s="137">
        <v>744292</v>
      </c>
      <c r="AP23" s="20">
        <f t="shared" si="21"/>
        <v>0.18125274763643762</v>
      </c>
      <c r="AQ23" s="131">
        <v>630087</v>
      </c>
      <c r="AR23" s="22">
        <f t="shared" si="22"/>
        <v>9.7469723597740643E-2</v>
      </c>
      <c r="AS23" s="135">
        <v>1647855</v>
      </c>
      <c r="AT23" s="134">
        <f t="shared" si="23"/>
        <v>574127</v>
      </c>
      <c r="AU23" s="23">
        <f t="shared" si="8"/>
        <v>0.76544189321746714</v>
      </c>
      <c r="AV23" s="131">
        <v>325203</v>
      </c>
      <c r="AW23" s="20">
        <f t="shared" si="9"/>
        <v>7.4099085842800338E-3</v>
      </c>
      <c r="AX23" s="137">
        <v>322811</v>
      </c>
      <c r="AY23" s="20">
        <f t="shared" si="28"/>
        <v>-0.24171861860309973</v>
      </c>
      <c r="AZ23" s="131">
        <v>425714</v>
      </c>
      <c r="BA23" s="135">
        <v>1381804</v>
      </c>
      <c r="BB23" s="28"/>
      <c r="BC23" s="28"/>
    </row>
    <row r="24" spans="1:55" ht="16.2" customHeight="1" x14ac:dyDescent="0.4">
      <c r="A24" s="29" t="s">
        <v>185</v>
      </c>
      <c r="B24" s="30" t="s">
        <v>235</v>
      </c>
      <c r="C24" s="130">
        <v>1466420.2350000001</v>
      </c>
      <c r="D24" s="22">
        <f t="shared" si="0"/>
        <v>-0.60397784725424497</v>
      </c>
      <c r="E24" s="130">
        <v>3702874.2579999999</v>
      </c>
      <c r="F24" s="22">
        <f t="shared" si="1"/>
        <v>1.8080871944580124</v>
      </c>
      <c r="G24" s="131">
        <v>1318646.4669999999</v>
      </c>
      <c r="H24" s="22">
        <f t="shared" si="25"/>
        <v>0.10774732835120604</v>
      </c>
      <c r="I24" s="133">
        <f t="shared" si="2"/>
        <v>5914187.3810000001</v>
      </c>
      <c r="J24" s="130">
        <v>1190385.5989999999</v>
      </c>
      <c r="K24" s="22">
        <f t="shared" si="12"/>
        <v>7.0211544651125113E-2</v>
      </c>
      <c r="L24" s="131">
        <v>1112290</v>
      </c>
      <c r="M24" s="22">
        <f t="shared" si="10"/>
        <v>-0.44446436204145601</v>
      </c>
      <c r="N24" s="130">
        <v>2002193.7820000001</v>
      </c>
      <c r="O24" s="22">
        <f t="shared" si="3"/>
        <v>0.24412563707110713</v>
      </c>
      <c r="P24" s="131">
        <v>1609318</v>
      </c>
      <c r="Q24" s="22">
        <f t="shared" si="26"/>
        <v>-0.27100915610956167</v>
      </c>
      <c r="R24" s="133">
        <f t="shared" si="27"/>
        <v>4215073</v>
      </c>
      <c r="S24" s="130">
        <v>2207597</v>
      </c>
      <c r="T24" s="20">
        <f t="shared" si="13"/>
        <v>5.2288826877117938</v>
      </c>
      <c r="U24" s="130">
        <v>354413</v>
      </c>
      <c r="V24" s="20">
        <f t="shared" si="14"/>
        <v>-0.58475823364694035</v>
      </c>
      <c r="W24" s="134">
        <f>1653063-Y24</f>
        <v>853510</v>
      </c>
      <c r="X24" s="20">
        <f t="shared" si="15"/>
        <v>6.7483956660784106E-2</v>
      </c>
      <c r="Y24" s="131">
        <v>799553</v>
      </c>
      <c r="Z24" s="22">
        <f t="shared" si="16"/>
        <v>2.1914843509881172</v>
      </c>
      <c r="AA24" s="135">
        <v>840218</v>
      </c>
      <c r="AB24" s="134">
        <f t="shared" si="17"/>
        <v>250527</v>
      </c>
      <c r="AC24" s="23">
        <f t="shared" si="18"/>
        <v>0.24619838533972027</v>
      </c>
      <c r="AD24" s="131">
        <f>589691-AH24-AF24</f>
        <v>201033</v>
      </c>
      <c r="AE24" s="20">
        <f t="shared" si="19"/>
        <v>0.65549187212806959</v>
      </c>
      <c r="AF24" s="137">
        <v>121434</v>
      </c>
      <c r="AG24" s="20">
        <f t="shared" si="20"/>
        <v>-0.54557225398916265</v>
      </c>
      <c r="AH24" s="131">
        <v>267224</v>
      </c>
      <c r="AI24" s="22">
        <f t="shared" si="5"/>
        <v>-0.48122824489574056</v>
      </c>
      <c r="AJ24" s="135">
        <v>2434813</v>
      </c>
      <c r="AK24" s="134">
        <f t="shared" si="6"/>
        <v>515109</v>
      </c>
      <c r="AL24" s="23">
        <f t="shared" si="11"/>
        <v>-0.14231124017196772</v>
      </c>
      <c r="AM24" s="131">
        <v>600578</v>
      </c>
      <c r="AN24" s="20">
        <f t="shared" si="7"/>
        <v>-6.7986989205261472E-2</v>
      </c>
      <c r="AO24" s="137">
        <v>644388</v>
      </c>
      <c r="AP24" s="20">
        <f t="shared" si="21"/>
        <v>-4.498042203047703E-2</v>
      </c>
      <c r="AQ24" s="131">
        <v>674738</v>
      </c>
      <c r="AR24" s="22">
        <f t="shared" si="22"/>
        <v>0.6147079235168833</v>
      </c>
      <c r="AS24" s="135">
        <v>1347889</v>
      </c>
      <c r="AT24" s="134">
        <f t="shared" si="23"/>
        <v>417870</v>
      </c>
      <c r="AU24" s="23">
        <f t="shared" si="8"/>
        <v>0.45477142886983413</v>
      </c>
      <c r="AV24" s="131">
        <v>287241</v>
      </c>
      <c r="AW24" s="20">
        <f t="shared" si="9"/>
        <v>-0.28873982290366673</v>
      </c>
      <c r="AX24" s="137">
        <v>403848</v>
      </c>
      <c r="AY24" s="20">
        <f t="shared" si="28"/>
        <v>0.69023563386766007</v>
      </c>
      <c r="AZ24" s="131">
        <v>238930</v>
      </c>
      <c r="BA24" s="135">
        <v>1312066</v>
      </c>
      <c r="BB24" s="28"/>
      <c r="BC24" s="28"/>
    </row>
    <row r="25" spans="1:55" ht="16.2" customHeight="1" x14ac:dyDescent="0.4">
      <c r="A25" s="29" t="s">
        <v>186</v>
      </c>
      <c r="B25" s="30" t="s">
        <v>229</v>
      </c>
      <c r="C25" s="130">
        <v>67</v>
      </c>
      <c r="D25" s="22">
        <f t="shared" si="0"/>
        <v>9.8360655737705027E-2</v>
      </c>
      <c r="E25" s="130">
        <v>61</v>
      </c>
      <c r="F25" s="22">
        <f t="shared" si="1"/>
        <v>-0.98759406141956474</v>
      </c>
      <c r="G25" s="131">
        <v>4917</v>
      </c>
      <c r="H25" s="22">
        <f t="shared" si="25"/>
        <v>-0.95777617404906656</v>
      </c>
      <c r="I25" s="133">
        <f t="shared" si="2"/>
        <v>173928.511</v>
      </c>
      <c r="J25" s="130">
        <v>116450.84</v>
      </c>
      <c r="K25" s="22">
        <f t="shared" si="12"/>
        <v>8.7083173960788187</v>
      </c>
      <c r="L25" s="131">
        <v>11994.956</v>
      </c>
      <c r="M25" s="22">
        <f t="shared" si="10"/>
        <v>-0.14740216146250718</v>
      </c>
      <c r="N25" s="130">
        <v>14068.714999999997</v>
      </c>
      <c r="O25" s="22">
        <f t="shared" si="3"/>
        <v>-0.55215142929903882</v>
      </c>
      <c r="P25" s="131">
        <v>31414</v>
      </c>
      <c r="Q25" s="22">
        <f t="shared" si="26"/>
        <v>4.8401189812232754</v>
      </c>
      <c r="R25" s="133">
        <f t="shared" si="27"/>
        <v>168730</v>
      </c>
      <c r="S25" s="130">
        <v>5379</v>
      </c>
      <c r="T25" s="20">
        <f t="shared" si="13"/>
        <v>-0.65448355601233299</v>
      </c>
      <c r="U25" s="130">
        <v>15568</v>
      </c>
      <c r="V25" s="20">
        <f t="shared" si="14"/>
        <v>-0.85787321063394684</v>
      </c>
      <c r="W25" s="134">
        <f>147783-Y25</f>
        <v>109536</v>
      </c>
      <c r="X25" s="20">
        <f t="shared" si="15"/>
        <v>1.8639108949721548</v>
      </c>
      <c r="Y25" s="131">
        <v>38247</v>
      </c>
      <c r="Z25" s="22">
        <f t="shared" si="16"/>
        <v>4.8347826086956518</v>
      </c>
      <c r="AA25" s="135">
        <v>45276</v>
      </c>
      <c r="AB25" s="134">
        <f t="shared" si="17"/>
        <v>6555</v>
      </c>
      <c r="AC25" s="23">
        <f t="shared" si="18"/>
        <v>-0.80632866513029611</v>
      </c>
      <c r="AD25" s="131">
        <f>38721-AH25-AF25</f>
        <v>33846</v>
      </c>
      <c r="AE25" s="20">
        <f t="shared" si="19"/>
        <v>10.583162217659138</v>
      </c>
      <c r="AF25" s="137">
        <v>2922</v>
      </c>
      <c r="AG25" s="20">
        <f t="shared" si="20"/>
        <v>0.49615975422427039</v>
      </c>
      <c r="AH25" s="131">
        <v>1953</v>
      </c>
      <c r="AI25" s="22">
        <f t="shared" si="5"/>
        <v>-0.8479682391405885</v>
      </c>
      <c r="AJ25" s="135">
        <v>47385</v>
      </c>
      <c r="AK25" s="134">
        <f t="shared" si="6"/>
        <v>12846</v>
      </c>
      <c r="AL25" s="23">
        <f t="shared" si="11"/>
        <v>-0.31753705572969237</v>
      </c>
      <c r="AM25" s="131">
        <v>18823</v>
      </c>
      <c r="AN25" s="20">
        <f t="shared" si="7"/>
        <v>2.4050289435600578</v>
      </c>
      <c r="AO25" s="137">
        <v>5528</v>
      </c>
      <c r="AP25" s="20">
        <f t="shared" si="21"/>
        <v>-0.45740086376128775</v>
      </c>
      <c r="AQ25" s="131">
        <v>10188</v>
      </c>
      <c r="AR25" s="22">
        <f t="shared" si="22"/>
        <v>0.11198428290766205</v>
      </c>
      <c r="AS25" s="135">
        <v>12876</v>
      </c>
      <c r="AT25" s="134">
        <f t="shared" si="23"/>
        <v>9162</v>
      </c>
      <c r="AU25" s="23">
        <f t="shared" si="8"/>
        <v>35.501992031872511</v>
      </c>
      <c r="AV25" s="131">
        <v>251</v>
      </c>
      <c r="AW25" s="20">
        <f t="shared" si="9"/>
        <v>-0.81877256317689528</v>
      </c>
      <c r="AX25" s="137">
        <v>1385</v>
      </c>
      <c r="AY25" s="20">
        <f t="shared" si="28"/>
        <v>-0.33349374398460063</v>
      </c>
      <c r="AZ25" s="131">
        <v>2078</v>
      </c>
      <c r="BA25" s="135">
        <v>26734</v>
      </c>
      <c r="BB25" s="28"/>
      <c r="BC25" s="28"/>
    </row>
    <row r="26" spans="1:55" ht="16.2" customHeight="1" x14ac:dyDescent="0.4">
      <c r="A26" s="29" t="s">
        <v>187</v>
      </c>
      <c r="B26" s="30" t="s">
        <v>230</v>
      </c>
      <c r="C26" s="130">
        <v>114904.181</v>
      </c>
      <c r="D26" s="22">
        <f t="shared" si="0"/>
        <v>1.0836325340726352</v>
      </c>
      <c r="E26" s="130">
        <v>55146.087</v>
      </c>
      <c r="F26" s="22">
        <f t="shared" si="1"/>
        <v>-0.43971585939639546</v>
      </c>
      <c r="G26" s="131">
        <v>98425.214999999997</v>
      </c>
      <c r="H26" s="22">
        <f t="shared" si="25"/>
        <v>-3.6586044881143418</v>
      </c>
      <c r="I26" s="133">
        <f t="shared" si="2"/>
        <v>19724.862000000001</v>
      </c>
      <c r="J26" s="130">
        <v>-37021.383000000002</v>
      </c>
      <c r="K26" s="22">
        <f t="shared" si="12"/>
        <v>-1.615330890052356</v>
      </c>
      <c r="L26" s="131">
        <v>60165</v>
      </c>
      <c r="M26" s="22">
        <f t="shared" si="10"/>
        <v>-2.6139219241629719</v>
      </c>
      <c r="N26" s="130">
        <v>-37278.754999999997</v>
      </c>
      <c r="O26" s="22">
        <f t="shared" si="3"/>
        <v>-2.1009673656231538</v>
      </c>
      <c r="P26" s="131">
        <v>33860</v>
      </c>
      <c r="Q26" s="22">
        <f t="shared" si="26"/>
        <v>-1.4863964145143218</v>
      </c>
      <c r="R26" s="133">
        <f t="shared" si="27"/>
        <v>-101200</v>
      </c>
      <c r="S26" s="130">
        <v>-69614</v>
      </c>
      <c r="T26" s="20">
        <f t="shared" si="13"/>
        <v>-0.39519204872242641</v>
      </c>
      <c r="U26" s="130">
        <v>-115101</v>
      </c>
      <c r="V26" s="20">
        <f t="shared" si="14"/>
        <v>10.125169147496617</v>
      </c>
      <c r="W26" s="134">
        <f>83515-Y26</f>
        <v>-10346</v>
      </c>
      <c r="X26" s="20">
        <f t="shared" si="15"/>
        <v>-1.1102268247728024</v>
      </c>
      <c r="Y26" s="131">
        <v>93861</v>
      </c>
      <c r="Z26" s="22">
        <f t="shared" si="16"/>
        <v>-1.9625387123900158</v>
      </c>
      <c r="AA26" s="135">
        <v>198527</v>
      </c>
      <c r="AB26" s="134">
        <f t="shared" si="17"/>
        <v>-97514</v>
      </c>
      <c r="AC26" s="23">
        <f t="shared" si="18"/>
        <v>-2.6431435985576113</v>
      </c>
      <c r="AD26" s="131">
        <f>296041-AH26-AF26</f>
        <v>59346</v>
      </c>
      <c r="AE26" s="20">
        <f t="shared" si="19"/>
        <v>-0.63050543539168435</v>
      </c>
      <c r="AF26" s="131">
        <v>160614</v>
      </c>
      <c r="AG26" s="20">
        <f t="shared" si="20"/>
        <v>1.1110921254978248</v>
      </c>
      <c r="AH26" s="131">
        <v>76081</v>
      </c>
      <c r="AI26" s="22">
        <f t="shared" si="5"/>
        <v>-3.9265299842289494</v>
      </c>
      <c r="AJ26" s="135">
        <v>185835</v>
      </c>
      <c r="AK26" s="134">
        <f t="shared" si="6"/>
        <v>-25997</v>
      </c>
      <c r="AL26" s="23">
        <v>0</v>
      </c>
      <c r="AM26" s="131">
        <v>98393</v>
      </c>
      <c r="AN26" s="20">
        <v>0</v>
      </c>
      <c r="AO26" s="131">
        <v>113439</v>
      </c>
      <c r="AP26" s="20">
        <v>0</v>
      </c>
      <c r="AQ26" s="131">
        <v>0</v>
      </c>
      <c r="AR26" s="22">
        <f t="shared" si="22"/>
        <v>-1</v>
      </c>
      <c r="AS26" s="135">
        <v>44684</v>
      </c>
      <c r="AT26" s="134">
        <f t="shared" si="23"/>
        <v>44684</v>
      </c>
      <c r="AU26" s="23">
        <v>0</v>
      </c>
      <c r="AV26" s="131">
        <v>0</v>
      </c>
      <c r="AW26" s="20">
        <v>0</v>
      </c>
      <c r="AX26" s="131">
        <v>0</v>
      </c>
      <c r="AY26" s="20">
        <v>0</v>
      </c>
      <c r="AZ26" s="131">
        <v>0</v>
      </c>
      <c r="BA26" s="135">
        <v>64317</v>
      </c>
      <c r="BB26" s="28"/>
      <c r="BC26" s="28"/>
    </row>
    <row r="27" spans="1:55" ht="16.2" customHeight="1" x14ac:dyDescent="0.4">
      <c r="A27" s="29" t="s">
        <v>188</v>
      </c>
      <c r="B27" s="30" t="s">
        <v>231</v>
      </c>
      <c r="C27" s="130">
        <v>67488.316999999995</v>
      </c>
      <c r="D27" s="22">
        <f t="shared" si="0"/>
        <v>0.2909893259167089</v>
      </c>
      <c r="E27" s="130">
        <v>52276.432999999997</v>
      </c>
      <c r="F27" s="22">
        <f t="shared" si="1"/>
        <v>-1.3225846639397076E-2</v>
      </c>
      <c r="G27" s="131">
        <v>52977.1</v>
      </c>
      <c r="H27" s="22">
        <f t="shared" si="25"/>
        <v>0.16791140106842195</v>
      </c>
      <c r="I27" s="133">
        <f t="shared" si="2"/>
        <v>229470.44999999998</v>
      </c>
      <c r="J27" s="130">
        <v>45360.546999999999</v>
      </c>
      <c r="K27" s="22">
        <f t="shared" si="12"/>
        <v>-0.51252798188362614</v>
      </c>
      <c r="L27" s="131">
        <v>93052.616999999998</v>
      </c>
      <c r="M27" s="22">
        <f t="shared" si="10"/>
        <v>1.7694819764920009</v>
      </c>
      <c r="N27" s="130">
        <v>33599.285999999993</v>
      </c>
      <c r="O27" s="22">
        <f t="shared" si="3"/>
        <v>-0.41523746040586185</v>
      </c>
      <c r="P27" s="131">
        <v>57458</v>
      </c>
      <c r="Q27" s="22">
        <f t="shared" si="26"/>
        <v>6.8052121865531445E-2</v>
      </c>
      <c r="R27" s="133">
        <f t="shared" si="27"/>
        <v>329281</v>
      </c>
      <c r="S27" s="130">
        <v>53797</v>
      </c>
      <c r="T27" s="20">
        <f t="shared" si="13"/>
        <v>-0.37962567893261989</v>
      </c>
      <c r="U27" s="130">
        <v>86717</v>
      </c>
      <c r="V27" s="20">
        <f t="shared" si="14"/>
        <v>-0.33321286869867439</v>
      </c>
      <c r="W27" s="134">
        <f>188767-Y27</f>
        <v>130052</v>
      </c>
      <c r="X27" s="20">
        <f t="shared" si="15"/>
        <v>1.2149706207953677</v>
      </c>
      <c r="Y27" s="131">
        <v>58715</v>
      </c>
      <c r="Z27" s="22">
        <f t="shared" si="16"/>
        <v>0.84632558724568407</v>
      </c>
      <c r="AA27" s="136">
        <v>143022</v>
      </c>
      <c r="AB27" s="134">
        <f t="shared" si="17"/>
        <v>31801</v>
      </c>
      <c r="AC27" s="23">
        <f t="shared" si="18"/>
        <v>-9.8943133199217992E-2</v>
      </c>
      <c r="AD27" s="131">
        <f>111221-AF27-AH27</f>
        <v>35293</v>
      </c>
      <c r="AE27" s="20">
        <f t="shared" si="19"/>
        <v>-3.237922903986401E-2</v>
      </c>
      <c r="AF27" s="137">
        <f>75928-AH27</f>
        <v>36474</v>
      </c>
      <c r="AG27" s="20">
        <f t="shared" si="20"/>
        <v>-7.5530998124398008E-2</v>
      </c>
      <c r="AH27" s="131">
        <v>39454</v>
      </c>
      <c r="AI27" s="22">
        <f t="shared" si="5"/>
        <v>-4.4508877809848677</v>
      </c>
      <c r="AJ27" s="136">
        <v>180385</v>
      </c>
      <c r="AK27" s="134">
        <f t="shared" si="6"/>
        <v>-11433</v>
      </c>
      <c r="AL27" s="23">
        <f t="shared" ref="AL27:AL33" si="29">AK27/AM27-1</f>
        <v>-1.2031594285308125</v>
      </c>
      <c r="AM27" s="131">
        <v>56276</v>
      </c>
      <c r="AN27" s="20">
        <f t="shared" ref="AN27:AN33" si="30">AM27/AO27-1</f>
        <v>-0.26497133079947233</v>
      </c>
      <c r="AO27" s="137">
        <v>76563</v>
      </c>
      <c r="AP27" s="20">
        <f t="shared" ref="AP27:AP33" si="31">AO27/AQ27-1</f>
        <v>0.2981400159378762</v>
      </c>
      <c r="AQ27" s="131">
        <v>58979</v>
      </c>
      <c r="AR27" s="22">
        <f t="shared" si="22"/>
        <v>7.933167410877684E-2</v>
      </c>
      <c r="AS27" s="136">
        <v>170822</v>
      </c>
      <c r="AT27" s="134">
        <f t="shared" si="23"/>
        <v>54644</v>
      </c>
      <c r="AU27" s="23">
        <f t="shared" ref="AU27:AU33" si="32">AT27/AV27-1</f>
        <v>9.3251705579897148E-2</v>
      </c>
      <c r="AV27" s="131">
        <v>49983</v>
      </c>
      <c r="AW27" s="20">
        <f t="shared" ref="AW27:AW33" si="33">AV27/AX27-1</f>
        <v>0.36034074517595194</v>
      </c>
      <c r="AX27" s="137">
        <v>36743</v>
      </c>
      <c r="AY27" s="20">
        <f t="shared" ref="AY27:AY33" si="34">AX27/AZ27-1</f>
        <v>0.2475553442890126</v>
      </c>
      <c r="AZ27" s="131">
        <v>29452</v>
      </c>
      <c r="BA27" s="135">
        <v>82223</v>
      </c>
      <c r="BB27" s="28"/>
      <c r="BC27" s="28"/>
    </row>
    <row r="28" spans="1:55" ht="16.2" customHeight="1" x14ac:dyDescent="0.4">
      <c r="A28" s="29" t="s">
        <v>189</v>
      </c>
      <c r="B28" s="30" t="s">
        <v>190</v>
      </c>
      <c r="C28" s="130">
        <v>1013457.814</v>
      </c>
      <c r="D28" s="22">
        <f t="shared" si="0"/>
        <v>0.35448157382592926</v>
      </c>
      <c r="E28" s="130">
        <v>748225.61899999995</v>
      </c>
      <c r="F28" s="22">
        <f t="shared" si="1"/>
        <v>0.29446731193035647</v>
      </c>
      <c r="G28" s="131">
        <v>578018.16399999999</v>
      </c>
      <c r="H28" s="22">
        <f t="shared" si="25"/>
        <v>-0.10606078269639474</v>
      </c>
      <c r="I28" s="133">
        <f t="shared" si="2"/>
        <v>3826259.4979999997</v>
      </c>
      <c r="J28" s="130">
        <v>646596.71799999999</v>
      </c>
      <c r="K28" s="22">
        <f t="shared" si="12"/>
        <v>0.32585362589845301</v>
      </c>
      <c r="L28" s="131">
        <v>487683.33500000002</v>
      </c>
      <c r="M28" s="22">
        <f t="shared" si="10"/>
        <v>-0.51456203162363656</v>
      </c>
      <c r="N28" s="130">
        <v>1004625.4449999998</v>
      </c>
      <c r="O28" s="22">
        <f t="shared" si="3"/>
        <v>-0.40461489112539528</v>
      </c>
      <c r="P28" s="131">
        <v>1687354</v>
      </c>
      <c r="Q28" s="22">
        <f t="shared" si="26"/>
        <v>20.708724124178215</v>
      </c>
      <c r="R28" s="133">
        <f t="shared" si="27"/>
        <v>714714</v>
      </c>
      <c r="S28" s="130">
        <v>77727</v>
      </c>
      <c r="T28" s="20">
        <f t="shared" si="13"/>
        <v>-0.54173373189238905</v>
      </c>
      <c r="U28" s="130">
        <v>169611</v>
      </c>
      <c r="V28" s="20">
        <f t="shared" si="14"/>
        <v>-0.39691507934532555</v>
      </c>
      <c r="W28" s="134">
        <f>467376-Y28</f>
        <v>281239</v>
      </c>
      <c r="X28" s="20">
        <f t="shared" si="15"/>
        <v>0.51092474897521711</v>
      </c>
      <c r="Y28" s="131">
        <v>186137</v>
      </c>
      <c r="Z28" s="22">
        <f t="shared" si="16"/>
        <v>-0.19063831637533701</v>
      </c>
      <c r="AA28" s="135">
        <v>926502</v>
      </c>
      <c r="AB28" s="134">
        <f t="shared" si="17"/>
        <v>229980</v>
      </c>
      <c r="AC28" s="23">
        <f t="shared" si="18"/>
        <v>0.26734484696857819</v>
      </c>
      <c r="AD28" s="131">
        <f>696522-AH28-AF28</f>
        <v>181466</v>
      </c>
      <c r="AE28" s="20">
        <f t="shared" si="19"/>
        <v>-0.37204650840888642</v>
      </c>
      <c r="AF28" s="137">
        <v>288980</v>
      </c>
      <c r="AG28" s="20">
        <f t="shared" si="20"/>
        <v>0.27824271483925767</v>
      </c>
      <c r="AH28" s="131">
        <v>226076</v>
      </c>
      <c r="AI28" s="22">
        <f t="shared" si="5"/>
        <v>-0.49713284131199753</v>
      </c>
      <c r="AJ28" s="135">
        <v>1908204</v>
      </c>
      <c r="AK28" s="134">
        <f t="shared" si="6"/>
        <v>449574</v>
      </c>
      <c r="AL28" s="23">
        <f t="shared" si="29"/>
        <v>0.30191678950066181</v>
      </c>
      <c r="AM28" s="131">
        <v>345317</v>
      </c>
      <c r="AN28" s="20">
        <f t="shared" si="30"/>
        <v>-0.51620690138279834</v>
      </c>
      <c r="AO28" s="137">
        <v>713770</v>
      </c>
      <c r="AP28" s="20">
        <f t="shared" si="31"/>
        <v>0.78646603744778409</v>
      </c>
      <c r="AQ28" s="131">
        <v>399543</v>
      </c>
      <c r="AR28" s="22">
        <f t="shared" si="22"/>
        <v>-0.24806484578048871</v>
      </c>
      <c r="AS28" s="135">
        <v>1599398</v>
      </c>
      <c r="AT28" s="134">
        <f t="shared" si="23"/>
        <v>531353</v>
      </c>
      <c r="AU28" s="23">
        <f t="shared" si="32"/>
        <v>0.57065622228791013</v>
      </c>
      <c r="AV28" s="131">
        <v>338300</v>
      </c>
      <c r="AW28" s="20">
        <f t="shared" si="33"/>
        <v>-2.5454000737463178E-2</v>
      </c>
      <c r="AX28" s="137">
        <v>347136</v>
      </c>
      <c r="AY28" s="20">
        <f t="shared" si="34"/>
        <v>-9.2713448977938318E-2</v>
      </c>
      <c r="AZ28" s="131">
        <v>382609</v>
      </c>
      <c r="BA28" s="135">
        <v>1131734</v>
      </c>
      <c r="BB28" s="28"/>
      <c r="BC28" s="28"/>
    </row>
    <row r="29" spans="1:55" ht="16.2" customHeight="1" x14ac:dyDescent="0.4">
      <c r="A29" s="29" t="s">
        <v>191</v>
      </c>
      <c r="B29" s="30" t="s">
        <v>232</v>
      </c>
      <c r="C29" s="130">
        <v>62690.650999999998</v>
      </c>
      <c r="D29" s="22">
        <f t="shared" si="0"/>
        <v>4.4007307075981217E-2</v>
      </c>
      <c r="E29" s="130">
        <v>60048.095999999998</v>
      </c>
      <c r="F29" s="22">
        <f t="shared" si="1"/>
        <v>7.8166652072202192E-2</v>
      </c>
      <c r="G29" s="131">
        <v>55694.633000000002</v>
      </c>
      <c r="H29" s="22">
        <f t="shared" si="25"/>
        <v>0.17986435040153581</v>
      </c>
      <c r="I29" s="133">
        <f t="shared" si="2"/>
        <v>162963.63099999999</v>
      </c>
      <c r="J29" s="130">
        <v>47204.267999999996</v>
      </c>
      <c r="K29" s="22">
        <f t="shared" si="12"/>
        <v>0.11136855488063269</v>
      </c>
      <c r="L29" s="131">
        <v>42474</v>
      </c>
      <c r="M29" s="22">
        <f t="shared" si="10"/>
        <v>0.11819698016260016</v>
      </c>
      <c r="N29" s="130">
        <v>37984.362999999998</v>
      </c>
      <c r="O29" s="22">
        <f t="shared" si="3"/>
        <v>7.601379564318278E-2</v>
      </c>
      <c r="P29" s="131">
        <v>35301</v>
      </c>
      <c r="Q29" s="22">
        <f t="shared" si="26"/>
        <v>0.1312247644683715</v>
      </c>
      <c r="R29" s="133">
        <f t="shared" si="27"/>
        <v>107551</v>
      </c>
      <c r="S29" s="130">
        <v>31206</v>
      </c>
      <c r="T29" s="20">
        <f t="shared" si="13"/>
        <v>0.1836146406220367</v>
      </c>
      <c r="U29" s="130">
        <v>26365</v>
      </c>
      <c r="V29" s="20">
        <f t="shared" si="14"/>
        <v>0.5662686389829501</v>
      </c>
      <c r="W29" s="134">
        <f>49980-Y29</f>
        <v>16833</v>
      </c>
      <c r="X29" s="20">
        <f t="shared" si="15"/>
        <v>-0.49217123721603762</v>
      </c>
      <c r="Y29" s="131">
        <v>33147</v>
      </c>
      <c r="Z29" s="22">
        <f t="shared" si="16"/>
        <v>0.43171216309606075</v>
      </c>
      <c r="AA29" s="135">
        <v>80170</v>
      </c>
      <c r="AB29" s="134">
        <f t="shared" si="17"/>
        <v>23152</v>
      </c>
      <c r="AC29" s="23">
        <f t="shared" si="18"/>
        <v>0.19623850366849238</v>
      </c>
      <c r="AD29" s="131">
        <f>57018-AH29-AF29</f>
        <v>19354</v>
      </c>
      <c r="AE29" s="20">
        <f t="shared" si="19"/>
        <v>0.22509178377009742</v>
      </c>
      <c r="AF29" s="137">
        <v>15798</v>
      </c>
      <c r="AG29" s="20">
        <f t="shared" si="20"/>
        <v>-0.27750846062379952</v>
      </c>
      <c r="AH29" s="131">
        <v>21866</v>
      </c>
      <c r="AI29" s="22">
        <f t="shared" si="5"/>
        <v>0.83347308401811171</v>
      </c>
      <c r="AJ29" s="135">
        <v>47698</v>
      </c>
      <c r="AK29" s="134">
        <f t="shared" si="6"/>
        <v>11926</v>
      </c>
      <c r="AL29" s="23">
        <f t="shared" si="29"/>
        <v>-0.32518531092627168</v>
      </c>
      <c r="AM29" s="131">
        <v>17673</v>
      </c>
      <c r="AN29" s="20">
        <f t="shared" si="30"/>
        <v>0.71916342412451373</v>
      </c>
      <c r="AO29" s="137">
        <v>10280</v>
      </c>
      <c r="AP29" s="20">
        <f t="shared" si="31"/>
        <v>0.314746131218826</v>
      </c>
      <c r="AQ29" s="131">
        <v>7819</v>
      </c>
      <c r="AR29" s="22">
        <f t="shared" si="22"/>
        <v>0.12828282828282833</v>
      </c>
      <c r="AS29" s="135">
        <v>23421</v>
      </c>
      <c r="AT29" s="134">
        <f t="shared" si="23"/>
        <v>6930</v>
      </c>
      <c r="AU29" s="23">
        <f t="shared" si="32"/>
        <v>0.17637073501952139</v>
      </c>
      <c r="AV29" s="131">
        <v>5891</v>
      </c>
      <c r="AW29" s="20">
        <f t="shared" si="33"/>
        <v>2.0263249047454135E-2</v>
      </c>
      <c r="AX29" s="137">
        <v>5774</v>
      </c>
      <c r="AY29" s="20">
        <f t="shared" si="34"/>
        <v>0.19643597181931205</v>
      </c>
      <c r="AZ29" s="131">
        <v>4826</v>
      </c>
      <c r="BA29" s="135">
        <v>11363</v>
      </c>
      <c r="BB29" s="28"/>
      <c r="BC29" s="28"/>
    </row>
    <row r="30" spans="1:55" s="13" customFormat="1" ht="16.2" customHeight="1" x14ac:dyDescent="0.4">
      <c r="A30" s="29" t="s">
        <v>192</v>
      </c>
      <c r="B30" s="30" t="s">
        <v>233</v>
      </c>
      <c r="C30" s="130">
        <v>248010.11799999999</v>
      </c>
      <c r="D30" s="22">
        <f t="shared" si="0"/>
        <v>-0.17986111686599526</v>
      </c>
      <c r="E30" s="130">
        <v>302400.14600000001</v>
      </c>
      <c r="F30" s="22">
        <f t="shared" si="1"/>
        <v>-0.20345581895815423</v>
      </c>
      <c r="G30" s="131">
        <v>379640.14199999999</v>
      </c>
      <c r="H30" s="22">
        <f t="shared" si="25"/>
        <v>-4.1122452483946526E-2</v>
      </c>
      <c r="I30" s="133">
        <f t="shared" si="2"/>
        <v>745198.46299999999</v>
      </c>
      <c r="J30" s="130">
        <v>395921.40100000001</v>
      </c>
      <c r="K30" s="22">
        <f t="shared" si="12"/>
        <v>2.7384251620579669</v>
      </c>
      <c r="L30" s="131">
        <v>105905.932</v>
      </c>
      <c r="M30" s="22">
        <f t="shared" si="10"/>
        <v>-3.4490181479240545E-2</v>
      </c>
      <c r="N30" s="130">
        <v>109689.13</v>
      </c>
      <c r="O30" s="22">
        <f t="shared" si="3"/>
        <v>-0.1794771921425472</v>
      </c>
      <c r="P30" s="131">
        <v>133682</v>
      </c>
      <c r="Q30" s="22">
        <f t="shared" si="26"/>
        <v>-7.7488941488223828E-2</v>
      </c>
      <c r="R30" s="133">
        <f t="shared" si="27"/>
        <v>306964</v>
      </c>
      <c r="S30" s="130">
        <v>144911</v>
      </c>
      <c r="T30" s="20">
        <f t="shared" si="13"/>
        <v>2.4439480000950637</v>
      </c>
      <c r="U30" s="130">
        <v>42077</v>
      </c>
      <c r="V30" s="20">
        <f t="shared" si="14"/>
        <v>7.3119102269829206E-2</v>
      </c>
      <c r="W30" s="134">
        <f>119976-Y30</f>
        <v>39210</v>
      </c>
      <c r="X30" s="20">
        <f t="shared" si="15"/>
        <v>-0.51452343808038037</v>
      </c>
      <c r="Y30" s="131">
        <v>80766</v>
      </c>
      <c r="Z30" s="22">
        <f t="shared" si="16"/>
        <v>1.6325293350717081</v>
      </c>
      <c r="AA30" s="135">
        <v>98924</v>
      </c>
      <c r="AB30" s="134">
        <f t="shared" si="17"/>
        <v>30680</v>
      </c>
      <c r="AC30" s="23">
        <f t="shared" si="18"/>
        <v>0.35064935064935066</v>
      </c>
      <c r="AD30" s="131">
        <f>68244-AH30-AF30</f>
        <v>22715</v>
      </c>
      <c r="AE30" s="20">
        <f t="shared" si="19"/>
        <v>-1.8606122603622035</v>
      </c>
      <c r="AF30" s="137">
        <v>-26394</v>
      </c>
      <c r="AG30" s="20">
        <f t="shared" si="20"/>
        <v>-1.3669757935569984</v>
      </c>
      <c r="AH30" s="131">
        <v>71923</v>
      </c>
      <c r="AI30" s="22">
        <f t="shared" si="5"/>
        <v>-0.38924082880434785</v>
      </c>
      <c r="AJ30" s="135">
        <v>671847</v>
      </c>
      <c r="AK30" s="134">
        <f t="shared" si="6"/>
        <v>117760</v>
      </c>
      <c r="AL30" s="23">
        <f t="shared" si="29"/>
        <v>-0.37314354459219201</v>
      </c>
      <c r="AM30" s="131">
        <v>187858</v>
      </c>
      <c r="AN30" s="20">
        <f t="shared" si="30"/>
        <v>-0.17792909092500375</v>
      </c>
      <c r="AO30" s="137">
        <v>228518</v>
      </c>
      <c r="AP30" s="20">
        <f t="shared" si="31"/>
        <v>0.65940266209670972</v>
      </c>
      <c r="AQ30" s="131">
        <v>137711</v>
      </c>
      <c r="AR30" s="22">
        <f t="shared" si="22"/>
        <v>-0.52860976661714676</v>
      </c>
      <c r="AS30" s="135">
        <v>545874</v>
      </c>
      <c r="AT30" s="134">
        <f t="shared" si="23"/>
        <v>292138</v>
      </c>
      <c r="AU30" s="23">
        <f t="shared" si="32"/>
        <v>1.1287581794599006</v>
      </c>
      <c r="AV30" s="131">
        <v>137234</v>
      </c>
      <c r="AW30" s="20">
        <f t="shared" si="33"/>
        <v>3.7507183161975979</v>
      </c>
      <c r="AX30" s="137">
        <v>28887</v>
      </c>
      <c r="AY30" s="20">
        <f t="shared" si="34"/>
        <v>-0.67029618216058895</v>
      </c>
      <c r="AZ30" s="131">
        <v>87615</v>
      </c>
      <c r="BA30" s="135">
        <v>242755</v>
      </c>
      <c r="BB30" s="28"/>
      <c r="BC30" s="28"/>
    </row>
    <row r="31" spans="1:55" s="13" customFormat="1" ht="16.2" customHeight="1" x14ac:dyDescent="0.4">
      <c r="A31" s="29" t="s">
        <v>193</v>
      </c>
      <c r="B31" s="30" t="s">
        <v>194</v>
      </c>
      <c r="C31" s="130">
        <v>294519.56199999998</v>
      </c>
      <c r="D31" s="22">
        <f t="shared" si="0"/>
        <v>-7.6658584971910249E-2</v>
      </c>
      <c r="E31" s="130">
        <v>318971.46299999999</v>
      </c>
      <c r="F31" s="22">
        <f t="shared" ref="F31:F32" si="35">E31/G31-1</f>
        <v>3.9631808420635553</v>
      </c>
      <c r="G31" s="131">
        <v>64267.548000000003</v>
      </c>
      <c r="H31" s="22">
        <f t="shared" ref="H31" si="36">G31/J31-1</f>
        <v>-0.85450562283646248</v>
      </c>
      <c r="I31" s="133">
        <f t="shared" ref="I31" si="37">SUM(J31,L31,N31,P31)</f>
        <v>1159752.673</v>
      </c>
      <c r="J31" s="130">
        <v>441718.43099999998</v>
      </c>
      <c r="K31" s="22">
        <f t="shared" ref="K31" si="38">J31/L31-1</f>
        <v>0.57025742075109598</v>
      </c>
      <c r="L31" s="131">
        <v>281303.196</v>
      </c>
      <c r="M31" s="22">
        <f t="shared" ref="M31" si="39">L31/N31-1</f>
        <v>0.20804584953014671</v>
      </c>
      <c r="N31" s="130">
        <v>232858.046</v>
      </c>
      <c r="O31" s="22">
        <f t="shared" ref="O31" si="40">N31/P31-1</f>
        <v>0.14217206790501935</v>
      </c>
      <c r="P31" s="131">
        <v>203873</v>
      </c>
      <c r="Q31" s="22">
        <f t="shared" ref="Q31" si="41">P31/S31-1</f>
        <v>0.26953278244462564</v>
      </c>
      <c r="R31" s="133">
        <f t="shared" ref="R31" si="42">S31+U31+W31+Y31</f>
        <v>513264</v>
      </c>
      <c r="S31" s="130">
        <v>160589</v>
      </c>
      <c r="T31" s="20">
        <f t="shared" ref="T31" si="43">S31/U31-1</f>
        <v>0.38931040150879404</v>
      </c>
      <c r="U31" s="130">
        <v>115589</v>
      </c>
      <c r="V31" s="20">
        <f t="shared" ref="V31" si="44">U31/W31-1</f>
        <v>-0.405488949580048</v>
      </c>
      <c r="W31" s="134">
        <f>237086-Y31</f>
        <v>194427</v>
      </c>
      <c r="X31" s="20">
        <f t="shared" ref="X31" si="45">W31/Y31-1</f>
        <v>3.5577017745376125</v>
      </c>
      <c r="Y31" s="131">
        <v>42659</v>
      </c>
      <c r="Z31" s="22">
        <f t="shared" ref="Z31" si="46">Y31/AB31-1</f>
        <v>-0.78616721053449423</v>
      </c>
      <c r="AA31" s="135">
        <v>537258</v>
      </c>
      <c r="AB31" s="134">
        <f t="shared" ref="AB31" si="47">AA31-AD31-AF31-AH31</f>
        <v>199497</v>
      </c>
      <c r="AC31" s="23">
        <f t="shared" ref="AC31" si="48">AB31/AD31-1</f>
        <v>0.18312289836851137</v>
      </c>
      <c r="AD31" s="131">
        <f>337761-AH31-AF31</f>
        <v>168619</v>
      </c>
      <c r="AE31" s="20">
        <f t="shared" ref="AE31" si="49">AD31/AF31-1</f>
        <v>1.2061598042679016</v>
      </c>
      <c r="AF31" s="137">
        <v>76431</v>
      </c>
      <c r="AG31" s="20">
        <f t="shared" ref="AG31" si="50">AF31/AH31-1</f>
        <v>-0.1755994434317395</v>
      </c>
      <c r="AH31" s="131">
        <v>92711</v>
      </c>
      <c r="AI31" s="22">
        <f t="shared" ref="AI31" si="51">AH31/AK31-1</f>
        <v>-0.45690937847812074</v>
      </c>
      <c r="AJ31" s="135">
        <v>706807</v>
      </c>
      <c r="AK31" s="134">
        <f t="shared" ref="AK31" si="52">AJ31-AQ31-AO31-AM31</f>
        <v>170710</v>
      </c>
      <c r="AL31" s="23">
        <f t="shared" ref="AL31" si="53">AK31/AM31-1</f>
        <v>-7.2837970682323006E-2</v>
      </c>
      <c r="AM31" s="131">
        <v>184121</v>
      </c>
      <c r="AN31" s="20">
        <f t="shared" ref="AN31" si="54">AM31/AO31-1</f>
        <v>-0.27512273477084914</v>
      </c>
      <c r="AO31" s="137">
        <v>254003</v>
      </c>
      <c r="AP31" s="20">
        <f t="shared" ref="AP31" si="55">AO31/AQ31-1</f>
        <v>1.592581629632654</v>
      </c>
      <c r="AQ31" s="131">
        <v>97973</v>
      </c>
      <c r="AR31" s="22">
        <f t="shared" ref="AR31" si="56">AQ31/AT31-1</f>
        <v>-0.62651769002336821</v>
      </c>
      <c r="AS31" s="135">
        <v>707802</v>
      </c>
      <c r="AT31" s="134">
        <f t="shared" ref="AT31" si="57">AS31-AZ31-AX31-AV31</f>
        <v>262323</v>
      </c>
      <c r="AU31" s="23">
        <f t="shared" ref="AU31" si="58">AT31/AV31-1</f>
        <v>0.11753303739552012</v>
      </c>
      <c r="AV31" s="131">
        <v>234734</v>
      </c>
      <c r="AW31" s="20">
        <f t="shared" ref="AW31" si="59">AV31/AX31-1</f>
        <v>1.2860287099978573</v>
      </c>
      <c r="AX31" s="137">
        <v>102682</v>
      </c>
      <c r="AY31" s="20">
        <f t="shared" ref="AY31" si="60">AX31/AZ31-1</f>
        <v>-4.9795026975005374E-2</v>
      </c>
      <c r="AZ31" s="131">
        <v>108063</v>
      </c>
      <c r="BA31" s="135">
        <v>278922</v>
      </c>
      <c r="BB31" s="28"/>
      <c r="BC31" s="28"/>
    </row>
    <row r="32" spans="1:55" s="13" customFormat="1" ht="16.2" customHeight="1" x14ac:dyDescent="0.4">
      <c r="A32" s="29" t="s">
        <v>195</v>
      </c>
      <c r="B32" s="30" t="s">
        <v>234</v>
      </c>
      <c r="C32" s="130">
        <v>10040.43</v>
      </c>
      <c r="D32" s="22">
        <f t="shared" si="0"/>
        <v>0.40075601312245701</v>
      </c>
      <c r="E32" s="130">
        <v>7167.8649999999998</v>
      </c>
      <c r="F32" s="22">
        <f t="shared" si="35"/>
        <v>0.68862533461584596</v>
      </c>
      <c r="G32" s="131">
        <v>4244.7929999999997</v>
      </c>
      <c r="H32" s="148"/>
      <c r="I32" s="133" t="s">
        <v>32</v>
      </c>
      <c r="J32" s="130" t="s">
        <v>32</v>
      </c>
      <c r="K32" s="148" t="s">
        <v>32</v>
      </c>
      <c r="L32" s="131" t="s">
        <v>32</v>
      </c>
      <c r="M32" s="148" t="s">
        <v>32</v>
      </c>
      <c r="N32" s="130" t="s">
        <v>32</v>
      </c>
      <c r="O32" s="148" t="s">
        <v>32</v>
      </c>
      <c r="P32" s="131" t="s">
        <v>32</v>
      </c>
      <c r="Q32" s="148" t="s">
        <v>32</v>
      </c>
      <c r="R32" s="133" t="s">
        <v>32</v>
      </c>
      <c r="S32" s="130" t="s">
        <v>32</v>
      </c>
      <c r="T32" s="59" t="s">
        <v>32</v>
      </c>
      <c r="U32" s="130" t="s">
        <v>32</v>
      </c>
      <c r="V32" s="59" t="s">
        <v>32</v>
      </c>
      <c r="W32" s="154" t="s">
        <v>32</v>
      </c>
      <c r="X32" s="59" t="s">
        <v>32</v>
      </c>
      <c r="Y32" s="131" t="s">
        <v>32</v>
      </c>
      <c r="Z32" s="148" t="s">
        <v>32</v>
      </c>
      <c r="AA32" s="135" t="s">
        <v>32</v>
      </c>
      <c r="AB32" s="154" t="s">
        <v>32</v>
      </c>
      <c r="AC32" s="155" t="s">
        <v>32</v>
      </c>
      <c r="AD32" s="131" t="s">
        <v>32</v>
      </c>
      <c r="AE32" s="59" t="s">
        <v>32</v>
      </c>
      <c r="AF32" s="156" t="s">
        <v>32</v>
      </c>
      <c r="AG32" s="59" t="s">
        <v>32</v>
      </c>
      <c r="AH32" s="131" t="s">
        <v>32</v>
      </c>
      <c r="AI32" s="148" t="s">
        <v>32</v>
      </c>
      <c r="AJ32" s="135" t="s">
        <v>32</v>
      </c>
      <c r="AK32" s="154" t="s">
        <v>32</v>
      </c>
      <c r="AL32" s="155" t="s">
        <v>32</v>
      </c>
      <c r="AM32" s="131" t="s">
        <v>32</v>
      </c>
      <c r="AN32" s="59" t="s">
        <v>32</v>
      </c>
      <c r="AO32" s="156" t="s">
        <v>32</v>
      </c>
      <c r="AP32" s="59" t="s">
        <v>32</v>
      </c>
      <c r="AQ32" s="131" t="s">
        <v>32</v>
      </c>
      <c r="AR32" s="148" t="s">
        <v>32</v>
      </c>
      <c r="AS32" s="135" t="s">
        <v>32</v>
      </c>
      <c r="AT32" s="154" t="s">
        <v>32</v>
      </c>
      <c r="AU32" s="155" t="s">
        <v>32</v>
      </c>
      <c r="AV32" s="131" t="s">
        <v>32</v>
      </c>
      <c r="AW32" s="59" t="s">
        <v>32</v>
      </c>
      <c r="AX32" s="156" t="s">
        <v>32</v>
      </c>
      <c r="AY32" s="59" t="s">
        <v>32</v>
      </c>
      <c r="AZ32" s="131" t="s">
        <v>32</v>
      </c>
      <c r="BA32" s="135" t="s">
        <v>32</v>
      </c>
      <c r="BB32" s="28"/>
      <c r="BC32" s="28"/>
    </row>
    <row r="33" spans="1:56" s="13" customFormat="1" ht="16.2" customHeight="1" x14ac:dyDescent="0.4">
      <c r="A33" s="32" t="s">
        <v>196</v>
      </c>
      <c r="B33" s="33" t="s">
        <v>45</v>
      </c>
      <c r="C33" s="150">
        <f>SUM(C2:C32)</f>
        <v>12348211.809999999</v>
      </c>
      <c r="D33" s="151">
        <f t="shared" si="0"/>
        <v>-6.270975539568413E-2</v>
      </c>
      <c r="E33" s="150">
        <f>SUM(E2:E32)</f>
        <v>13174373.552999999</v>
      </c>
      <c r="F33" s="151">
        <f t="shared" si="1"/>
        <v>0.27675637846907208</v>
      </c>
      <c r="G33" s="150">
        <f>SUM(G2:G32)</f>
        <v>10318627.558999998</v>
      </c>
      <c r="H33" s="151">
        <f t="shared" si="25"/>
        <v>-0.12533334771300253</v>
      </c>
      <c r="I33" s="152">
        <f t="shared" si="2"/>
        <v>39290816.355999999</v>
      </c>
      <c r="J33" s="150">
        <f>SUM(J2:J32)</f>
        <v>11797211.579999998</v>
      </c>
      <c r="K33" s="151">
        <f t="shared" si="12"/>
        <v>0.39250602254869982</v>
      </c>
      <c r="L33" s="150">
        <f>SUM(L2:L32)</f>
        <v>8471928.5870000012</v>
      </c>
      <c r="M33" s="151">
        <f t="shared" si="10"/>
        <v>-7.3595092471838819E-2</v>
      </c>
      <c r="N33" s="150">
        <f>SUM(N2:N32)</f>
        <v>9144952.1890000012</v>
      </c>
      <c r="O33" s="151">
        <f t="shared" si="3"/>
        <v>-7.409053963642187E-2</v>
      </c>
      <c r="P33" s="150">
        <f>SUM(P2:P32)</f>
        <v>9876724</v>
      </c>
      <c r="Q33" s="151">
        <f t="shared" si="26"/>
        <v>0.31428601083953644</v>
      </c>
      <c r="R33" s="152">
        <f>Y33+W33+U33+S33</f>
        <v>26139943</v>
      </c>
      <c r="S33" s="150">
        <f>SUM(S2:S32)</f>
        <v>7514897</v>
      </c>
      <c r="T33" s="151">
        <f t="shared" si="13"/>
        <v>0.28844549449381307</v>
      </c>
      <c r="U33" s="150">
        <f>SUM(U2:U32)</f>
        <v>5832530</v>
      </c>
      <c r="V33" s="151">
        <f t="shared" si="14"/>
        <v>-0.16206637606957208</v>
      </c>
      <c r="W33" s="150">
        <f>SUM(W2:W32)</f>
        <v>6960611</v>
      </c>
      <c r="X33" s="151">
        <f t="shared" si="15"/>
        <v>0.19353984675676306</v>
      </c>
      <c r="Y33" s="150">
        <f>SUM(Y2:Y32)</f>
        <v>5831905</v>
      </c>
      <c r="Z33" s="151">
        <f t="shared" si="16"/>
        <v>-0.17925135583354634</v>
      </c>
      <c r="AA33" s="152">
        <f>AH33+AF33+AD33+AB33</f>
        <v>20350687</v>
      </c>
      <c r="AB33" s="150">
        <f>SUM(AB2:AB32)</f>
        <v>7105592</v>
      </c>
      <c r="AC33" s="153">
        <f t="shared" si="18"/>
        <v>0.72263791591996962</v>
      </c>
      <c r="AD33" s="150">
        <f>SUM(AD2:AD32)</f>
        <v>4124832</v>
      </c>
      <c r="AE33" s="151">
        <f t="shared" si="19"/>
        <v>-0.18077489339212927</v>
      </c>
      <c r="AF33" s="150">
        <f>SUM(AF2:AF32)</f>
        <v>5035041</v>
      </c>
      <c r="AG33" s="151">
        <f t="shared" si="20"/>
        <v>0.23250119577344885</v>
      </c>
      <c r="AH33" s="150">
        <f>SUM(AH2:AH32)</f>
        <v>4085222</v>
      </c>
      <c r="AI33" s="151">
        <f t="shared" si="5"/>
        <v>-0.25229041109529748</v>
      </c>
      <c r="AJ33" s="152">
        <f>SUM(AJ2:AJ32)</f>
        <v>22286676</v>
      </c>
      <c r="AK33" s="150">
        <f>AJ33-AQ33-AO33-AM33</f>
        <v>5463648</v>
      </c>
      <c r="AL33" s="153">
        <f t="shared" si="29"/>
        <v>3.3651848774407966E-2</v>
      </c>
      <c r="AM33" s="150">
        <f>SUM(AM2:AM32)</f>
        <v>5285772</v>
      </c>
      <c r="AN33" s="151">
        <f t="shared" si="30"/>
        <v>-0.21190595184278227</v>
      </c>
      <c r="AO33" s="150">
        <f>SUM(AO2:AO32)</f>
        <v>6707032</v>
      </c>
      <c r="AP33" s="151">
        <f t="shared" si="31"/>
        <v>0.3885550649410876</v>
      </c>
      <c r="AQ33" s="150">
        <f>SUM(AQ2:AQ32)</f>
        <v>4830224</v>
      </c>
      <c r="AR33" s="151">
        <f>AQ33/AT33-1</f>
        <v>-3.4033332652460002E-3</v>
      </c>
      <c r="AS33" s="152">
        <f>SUM(AS2:AS32)</f>
        <v>17191307</v>
      </c>
      <c r="AT33" s="150">
        <f>SUM(AT2:AT32)</f>
        <v>4846719</v>
      </c>
      <c r="AU33" s="153">
        <f t="shared" si="32"/>
        <v>9.763319170696505E-2</v>
      </c>
      <c r="AV33" s="150">
        <f>SUM(AV2:AV32)</f>
        <v>4415609</v>
      </c>
      <c r="AW33" s="151">
        <f t="shared" si="33"/>
        <v>4.3153181331952339E-2</v>
      </c>
      <c r="AX33" s="150">
        <f>SUM(AX2:AX32)</f>
        <v>4232944</v>
      </c>
      <c r="AY33" s="151">
        <f t="shared" si="34"/>
        <v>0.12566861558214026</v>
      </c>
      <c r="AZ33" s="150">
        <f>SUM(AZ2:AZ32)</f>
        <v>3760382</v>
      </c>
      <c r="BA33" s="152">
        <f>SUM(BA2:BA32)</f>
        <v>13279150</v>
      </c>
      <c r="BB33" s="28"/>
      <c r="BC33" s="28"/>
    </row>
    <row r="34" spans="1:56" s="132" customFormat="1" ht="16.2" customHeight="1" x14ac:dyDescent="0.4">
      <c r="A34" s="15"/>
      <c r="B34" s="34"/>
      <c r="C34" s="138"/>
      <c r="D34" s="34"/>
      <c r="E34" s="138"/>
      <c r="F34" s="34"/>
      <c r="G34" s="138"/>
      <c r="H34" s="34"/>
      <c r="J34" s="138"/>
      <c r="K34" s="34"/>
      <c r="L34" s="138"/>
      <c r="M34" s="34"/>
      <c r="N34" s="138"/>
      <c r="O34" s="34"/>
      <c r="P34" s="138"/>
      <c r="Q34" s="34"/>
      <c r="T34" s="14"/>
      <c r="V34" s="14"/>
      <c r="W34" s="114"/>
      <c r="X34" s="16"/>
      <c r="Z34" s="16"/>
      <c r="AB34" s="114"/>
      <c r="AC34" s="14"/>
      <c r="AE34" s="14"/>
      <c r="AF34" s="114"/>
      <c r="AG34" s="16"/>
      <c r="AI34" s="16"/>
      <c r="AK34" s="114"/>
      <c r="AL34" s="14"/>
      <c r="AN34" s="14"/>
      <c r="AO34" s="114"/>
      <c r="AP34" s="16"/>
      <c r="AR34" s="16"/>
      <c r="AT34" s="114"/>
      <c r="AU34" s="14"/>
      <c r="AW34" s="14"/>
      <c r="AX34" s="114"/>
      <c r="AY34" s="16"/>
      <c r="BB34" s="13"/>
      <c r="BC34" s="13"/>
      <c r="BD34" s="13"/>
    </row>
  </sheetData>
  <phoneticPr fontId="3" type="noConversion"/>
  <conditionalFormatting sqref="D1:D33">
    <cfRule type="cellIs" dxfId="9" priority="1" operator="lessThan">
      <formula>-0.2</formula>
    </cfRule>
    <cfRule type="cellIs" dxfId="8" priority="2" operator="greaterThan">
      <formula>$AP$2%</formula>
    </cfRule>
  </conditionalFormatting>
  <conditionalFormatting sqref="F1:F33 K1:K33 M1:M33 O1:O33 X1:X1048576 Z1:Z1048576 AG1:AG1048576 AI1:AI1048576 AP1:AP1048576 AR1:AR1048576 AY1:AY1048576">
    <cfRule type="cellIs" dxfId="7" priority="3" operator="lessThan">
      <formula>-0.2</formula>
    </cfRule>
    <cfRule type="cellIs" dxfId="6" priority="4" operator="greaterThan">
      <formula>$AP$2%</formula>
    </cfRule>
  </conditionalFormatting>
  <conditionalFormatting sqref="H1:H33">
    <cfRule type="cellIs" dxfId="5" priority="9" operator="lessThan">
      <formula>-0.2</formula>
    </cfRule>
    <cfRule type="cellIs" dxfId="4" priority="10" operator="greaterThan">
      <formula>$AP$2%</formula>
    </cfRule>
  </conditionalFormatting>
  <conditionalFormatting sqref="Q1:Q33">
    <cfRule type="cellIs" dxfId="3" priority="7" operator="lessThan">
      <formula>-0.2</formula>
    </cfRule>
    <cfRule type="cellIs" dxfId="2" priority="8" operator="greaterThan">
      <formula>$AP$2%</formula>
    </cfRule>
  </conditionalFormatting>
  <conditionalFormatting sqref="T1:T1048576 V1:V1048576 AC1:AC1048576 AE1:AE1048576 AL1:AL1048576 AN1:AN1048576 AU1:AU1048576 AW1:AW1048576">
    <cfRule type="cellIs" dxfId="1" priority="11" operator="lessThan">
      <formula>-0.2</formula>
    </cfRule>
    <cfRule type="cellIs" dxfId="0" priority="12" operator="greaterThan">
      <formula>0.2</formula>
    </cfRule>
  </conditionalFormatting>
  <pageMargins left="0.70866141732283472" right="0.70866141732283472" top="0.74803149606299213" bottom="0.74803149606299213" header="0.31496062992125984" footer="0.31496062992125984"/>
  <pageSetup paperSize="9" scale="98" fitToWidth="0" orientation="landscape" r:id="rId1"/>
  <colBreaks count="4" manualBreakCount="4">
    <brk id="17" max="1048575" man="1"/>
    <brk id="26" max="1048575" man="1"/>
    <brk id="35" max="1048575" man="1"/>
    <brk id="4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06037e04-7186-48ae-af5f-19757320bcdd" xsi:nil="true"/>
    <SharedWithUsers xmlns="755c5863-6822-4905-a534-1d8818298bb7">
      <UserInfo>
        <DisplayName/>
        <AccountId xsi:nil="true"/>
        <AccountType/>
      </UserInfo>
    </SharedWithUsers>
    <lcf76f155ced4ddcb4097134ff3c332f xmlns="06037e04-7186-48ae-af5f-19757320bcdd">
      <Terms xmlns="http://schemas.microsoft.com/office/infopath/2007/PartnerControls"/>
    </lcf76f155ced4ddcb4097134ff3c332f>
    <TaxCatchAll xmlns="755c5863-6822-4905-a534-1d8818298bb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5F68CCDC910314448C3AA2C78EF2B4BE" ma:contentTypeVersion="14" ma:contentTypeDescription="새 문서를 만듭니다." ma:contentTypeScope="" ma:versionID="7b78ec87e7755e1198c8af9ddf014ec7">
  <xsd:schema xmlns:xsd="http://www.w3.org/2001/XMLSchema" xmlns:xs="http://www.w3.org/2001/XMLSchema" xmlns:p="http://schemas.microsoft.com/office/2006/metadata/properties" xmlns:ns2="06037e04-7186-48ae-af5f-19757320bcdd" xmlns:ns3="755c5863-6822-4905-a534-1d8818298bb7" targetNamespace="http://schemas.microsoft.com/office/2006/metadata/properties" ma:root="true" ma:fieldsID="efa10c56da09671a211bf53fd15c3d3f" ns2:_="" ns3:_="">
    <xsd:import namespace="06037e04-7186-48ae-af5f-19757320bcdd"/>
    <xsd:import namespace="755c5863-6822-4905-a534-1d8818298b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037e04-7186-48ae-af5f-19757320bc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이미지 태그" ma:readOnly="false" ma:fieldId="{5cf76f15-5ced-4ddc-b409-7134ff3c332f}" ma:taxonomyMulti="true" ma:sspId="5410372f-e37a-409f-baf7-dae9795ed3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c5863-6822-4905-a534-1d8818298bb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1bd62e49-fb2f-4a63-a258-9ea6090cf1d7}" ma:internalName="TaxCatchAll" ma:showField="CatchAllData" ma:web="755c5863-6822-4905-a534-1d8818298b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8DE0BD-6823-4E59-A85F-AECE2DA7EC4A}">
  <ds:schemaRefs>
    <ds:schemaRef ds:uri="http://schemas.microsoft.com/office/2006/metadata/properties"/>
    <ds:schemaRef ds:uri="http://schemas.microsoft.com/office/infopath/2007/PartnerControls"/>
    <ds:schemaRef ds:uri="06037e04-7186-48ae-af5f-19757320bcdd"/>
    <ds:schemaRef ds:uri="755c5863-6822-4905-a534-1d8818298bb7"/>
  </ds:schemaRefs>
</ds:datastoreItem>
</file>

<file path=customXml/itemProps2.xml><?xml version="1.0" encoding="utf-8"?>
<ds:datastoreItem xmlns:ds="http://schemas.openxmlformats.org/officeDocument/2006/customXml" ds:itemID="{B6BD9E56-2CA9-4748-8510-A4EF3B7580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037e04-7186-48ae-af5f-19757320bcdd"/>
    <ds:schemaRef ds:uri="755c5863-6822-4905-a534-1d8818298b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5E8A125-0110-45AB-9A91-7494021E82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5</vt:i4>
      </vt:variant>
    </vt:vector>
  </HeadingPairs>
  <TitlesOfParts>
    <vt:vector size="8" baseType="lpstr">
      <vt:lpstr>Income Statement</vt:lpstr>
      <vt:lpstr>Balance Sheet</vt:lpstr>
      <vt:lpstr>SG&amp;A</vt:lpstr>
      <vt:lpstr>'Balance Sheet'!Print_Area</vt:lpstr>
      <vt:lpstr>'Income Statement'!Print_Area</vt:lpstr>
      <vt:lpstr>'Balance Sheet'!Print_Titles</vt:lpstr>
      <vt:lpstr>'Income Statement'!Print_Titles</vt:lpstr>
      <vt:lpstr>'SG&amp;A'!Print_Titles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서정민</cp:lastModifiedBy>
  <cp:revision/>
  <dcterms:created xsi:type="dcterms:W3CDTF">2018-02-06T21:15:38Z</dcterms:created>
  <dcterms:modified xsi:type="dcterms:W3CDTF">2023-11-07T02:17:04Z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0x0101005F68CCDC910314448C3AA2C78EF2B4BE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