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skederm3d002.sharepoint.com/sites/01.IRnew/Shared Documents/02.IR/"/>
    </mc:Choice>
  </mc:AlternateContent>
  <xr:revisionPtr revIDLastSave="53" documentId="8_{8E93FABC-2816-4422-B7E6-35074A8F2446}" xr6:coauthVersionLast="47" xr6:coauthVersionMax="47" xr10:uidLastSave="{393A9E9E-57A8-4D8D-A959-C3159F3407ED}"/>
  <bookViews>
    <workbookView xWindow="28680" yWindow="-2055" windowWidth="29040" windowHeight="15720" tabRatio="706" activeTab="1" xr2:uid="{00000000-000D-0000-FFFF-FFFF00000000}"/>
  </bookViews>
  <sheets>
    <sheet name="Quarterly&gt;&gt;" sheetId="12" r:id="rId1"/>
    <sheet name="Q_IS" sheetId="8" r:id="rId2"/>
    <sheet name="Q_SG&amp;A" sheetId="10" r:id="rId3"/>
    <sheet name="YTD Quarterly&gt;&gt;" sheetId="23" r:id="rId4"/>
    <sheet name="C_IS" sheetId="26" r:id="rId5"/>
    <sheet name="C_SG&amp;A" sheetId="27" r:id="rId6"/>
    <sheet name="C_BS" sheetId="4" r:id="rId7"/>
    <sheet name="Annually&gt;&gt;" sheetId="13" r:id="rId8"/>
    <sheet name="Y_IS" sheetId="7" r:id="rId9"/>
    <sheet name="Y_SG&amp;A" sheetId="5" r:id="rId10"/>
    <sheet name="Y_BS" sheetId="11" r:id="rId11"/>
    <sheet name="IR BOOK&gt;&gt;" sheetId="19" r:id="rId12"/>
    <sheet name="PL" sheetId="20" r:id="rId13"/>
    <sheet name="Brand" sheetId="21" r:id="rId14"/>
    <sheet name="SG&amp;A" sheetId="18" r:id="rId15"/>
    <sheet name="BS" sheetId="22" r:id="rId16"/>
  </sheets>
  <definedNames>
    <definedName name="_xlnm._FilterDatabase" localSheetId="4" hidden="1">C_IS!$B$3:$D$23</definedName>
    <definedName name="_xlnm._FilterDatabase" localSheetId="5" hidden="1">'C_SG&amp;A'!$B$2:$C$2</definedName>
    <definedName name="_xlnm._FilterDatabase" localSheetId="1" hidden="1">Q_IS!$B$3:$J$23</definedName>
    <definedName name="_xlnm._FilterDatabase" localSheetId="2" hidden="1">'Q_SG&amp;A'!$A$2:$CD$2</definedName>
    <definedName name="_xlnm._FilterDatabase" localSheetId="10" hidden="1">Y_BS!$A$1:$D$51</definedName>
    <definedName name="_xlnm._FilterDatabase" localSheetId="8" hidden="1">Y_IS!$B$3:$D$41</definedName>
    <definedName name="_xlnm._FilterDatabase" localSheetId="9" hidden="1">'Y_SG&amp;A'!$B$2:$C$2</definedName>
    <definedName name="_xlnm.Print_Area" localSheetId="6">C_BS!$A$1:$CZ$55</definedName>
    <definedName name="_xlnm.Print_Area" localSheetId="4">C_IS!$A$1:$J$64</definedName>
    <definedName name="_xlnm.Print_Area" localSheetId="5">'C_SG&amp;A'!$A$1:$AL$38</definedName>
    <definedName name="_xlnm.Print_Area" localSheetId="1">Q_IS!$A$1:$Q$62</definedName>
    <definedName name="_xlnm.Print_Area" localSheetId="2">'Q_SG&amp;A'!$A$1:$CY$36</definedName>
    <definedName name="_xlnm.Print_Area" localSheetId="10">Y_BS!$A$1:$U$52</definedName>
    <definedName name="_xlnm.Print_Area" localSheetId="8">Y_IS!$A$1:$H$59</definedName>
    <definedName name="_xlnm.Print_Area" localSheetId="9">'Y_SG&amp;A'!$A$1:$T$39</definedName>
    <definedName name="_xlnm.Print_Titles" localSheetId="6">C_BS!$C:$D</definedName>
    <definedName name="_xlnm.Print_Titles" localSheetId="5">'C_SG&amp;A'!$B:$C</definedName>
    <definedName name="_xlnm.Print_Titles" localSheetId="2">'Q_SG&amp;A'!$B:$C</definedName>
    <definedName name="_xlnm.Print_Titles" localSheetId="10">Y_BS!$C:$D</definedName>
    <definedName name="_xlnm.Print_Titles" localSheetId="8">Y_IS!$C:$C</definedName>
    <definedName name="_xlnm.Print_Titles" localSheetId="9">'Y_SG&amp;A'!$B:$C</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89" i="8" l="1"/>
  <c r="M80" i="8"/>
  <c r="A4" i="22"/>
  <c r="A5" i="22"/>
  <c r="K5" i="22" s="1"/>
  <c r="A9" i="22"/>
  <c r="K9" i="22" s="1"/>
  <c r="A10" i="22"/>
  <c r="K10" i="22" s="1"/>
  <c r="A15" i="22"/>
  <c r="A16" i="22"/>
  <c r="A18" i="22"/>
  <c r="K18" i="22" s="1"/>
  <c r="A19" i="22"/>
  <c r="K19" i="22" s="1"/>
  <c r="A20" i="22"/>
  <c r="K20" i="22" s="1"/>
  <c r="A21" i="22"/>
  <c r="K21" i="22" s="1"/>
  <c r="A22" i="22"/>
  <c r="K22" i="22" s="1"/>
  <c r="A23" i="22"/>
  <c r="K23" i="22" s="1"/>
  <c r="H118" i="7"/>
  <c r="H117" i="7"/>
  <c r="H115" i="7"/>
  <c r="H114" i="7"/>
  <c r="H112" i="7"/>
  <c r="H111" i="7"/>
  <c r="H109" i="7"/>
  <c r="H108" i="7"/>
  <c r="H106" i="7"/>
  <c r="H105" i="7"/>
  <c r="H103" i="7"/>
  <c r="H102" i="7"/>
  <c r="H100" i="7"/>
  <c r="H99" i="7"/>
  <c r="H97" i="7"/>
  <c r="H96" i="7"/>
  <c r="H95" i="7"/>
  <c r="H94" i="7"/>
  <c r="H92" i="7"/>
  <c r="H91" i="7"/>
  <c r="H90" i="7"/>
  <c r="H89" i="7"/>
  <c r="F118" i="7"/>
  <c r="F117" i="7"/>
  <c r="F115" i="7"/>
  <c r="F114" i="7"/>
  <c r="F112" i="7"/>
  <c r="F111" i="7"/>
  <c r="F109" i="7"/>
  <c r="F108" i="7"/>
  <c r="F106" i="7"/>
  <c r="F105" i="7"/>
  <c r="F103" i="7"/>
  <c r="F102" i="7"/>
  <c r="F100" i="7"/>
  <c r="F99" i="7"/>
  <c r="F97" i="7"/>
  <c r="F96" i="7"/>
  <c r="F95" i="7"/>
  <c r="F94" i="7"/>
  <c r="F92" i="7"/>
  <c r="F91" i="7"/>
  <c r="F90" i="7"/>
  <c r="F89" i="7"/>
  <c r="F75" i="7"/>
  <c r="F74" i="7"/>
  <c r="F73" i="7"/>
  <c r="F72" i="7"/>
  <c r="F71" i="7"/>
  <c r="F70" i="7"/>
  <c r="F68" i="7"/>
  <c r="F67" i="7"/>
  <c r="F66" i="7"/>
  <c r="F65" i="7"/>
  <c r="F64" i="7"/>
  <c r="G19" i="18"/>
  <c r="N41" i="26"/>
  <c r="CQ53" i="4"/>
  <c r="CP53" i="4"/>
  <c r="CN53" i="4"/>
  <c r="CM53" i="4"/>
  <c r="CK53" i="4"/>
  <c r="CJ53" i="4"/>
  <c r="CH53" i="4"/>
  <c r="CG53" i="4"/>
  <c r="CT53" i="4"/>
  <c r="CS53" i="4"/>
  <c r="H85" i="26"/>
  <c r="I85" i="26" s="1"/>
  <c r="D85" i="26"/>
  <c r="L85" i="26"/>
  <c r="H103" i="26"/>
  <c r="I103" i="26" s="1"/>
  <c r="H102" i="26"/>
  <c r="I102" i="26" s="1"/>
  <c r="H98" i="26"/>
  <c r="I98" i="26" s="1"/>
  <c r="H97" i="26"/>
  <c r="I97" i="26" s="1"/>
  <c r="D103" i="26"/>
  <c r="E103" i="26" s="1"/>
  <c r="F103" i="26" s="1"/>
  <c r="G103" i="26" s="1"/>
  <c r="D102" i="26"/>
  <c r="E102" i="26" s="1"/>
  <c r="F102" i="26" s="1"/>
  <c r="G102" i="26" s="1"/>
  <c r="D98" i="26"/>
  <c r="E98" i="26" s="1"/>
  <c r="F98" i="26" s="1"/>
  <c r="G98" i="26" s="1"/>
  <c r="D97" i="26"/>
  <c r="E97" i="26" s="1"/>
  <c r="F97" i="26" s="1"/>
  <c r="G97" i="26" s="1"/>
  <c r="M102" i="8"/>
  <c r="L102" i="8"/>
  <c r="M101" i="8"/>
  <c r="L101" i="8"/>
  <c r="M100" i="8"/>
  <c r="L100" i="8"/>
  <c r="M96" i="8"/>
  <c r="L96" i="8"/>
  <c r="M95" i="8"/>
  <c r="L95" i="8"/>
  <c r="A4" i="11"/>
  <c r="A5" i="11" s="1"/>
  <c r="A6" i="11" s="1"/>
  <c r="A7" i="11" s="1"/>
  <c r="A8" i="11" s="1"/>
  <c r="A9" i="11" s="1"/>
  <c r="A10" i="11" s="1"/>
  <c r="A11" i="11" s="1"/>
  <c r="A12" i="11" s="1"/>
  <c r="A13" i="11" s="1"/>
  <c r="A14" i="11" s="1"/>
  <c r="A15" i="11" s="1"/>
  <c r="A16" i="11" s="1"/>
  <c r="A17" i="11" s="1"/>
  <c r="A18" i="11" s="1"/>
  <c r="A19" i="11" s="1"/>
  <c r="A20" i="11" s="1"/>
  <c r="A21" i="11" s="1"/>
  <c r="A22" i="11" s="1"/>
  <c r="A23" i="11" s="1"/>
  <c r="A24" i="11" s="1"/>
  <c r="A25" i="11" s="1"/>
  <c r="A26" i="11" s="1"/>
  <c r="A27" i="11" s="1"/>
  <c r="A28" i="11" s="1"/>
  <c r="A29" i="11" s="1"/>
  <c r="A30" i="11" s="1"/>
  <c r="A31" i="11" s="1"/>
  <c r="A32" i="11" s="1"/>
  <c r="A33" i="11" s="1"/>
  <c r="A34" i="11" s="1"/>
  <c r="A35" i="11" s="1"/>
  <c r="A36" i="11" s="1"/>
  <c r="A37" i="11" s="1"/>
  <c r="A38" i="11" s="1"/>
  <c r="A39" i="11" s="1"/>
  <c r="A40" i="11" s="1"/>
  <c r="A41" i="11" s="1"/>
  <c r="A42" i="11" s="1"/>
  <c r="A43" i="11" s="1"/>
  <c r="A44" i="11" s="1"/>
  <c r="A45" i="11" s="1"/>
  <c r="A46" i="11" s="1"/>
  <c r="A47" i="11" s="1"/>
  <c r="A48" i="11" s="1"/>
  <c r="A49" i="11" s="1"/>
  <c r="A50" i="11" s="1"/>
  <c r="A51" i="11" s="1"/>
  <c r="A3" i="11"/>
  <c r="E19" i="18"/>
  <c r="D19" i="18"/>
  <c r="I41" i="26"/>
  <c r="H125" i="26"/>
  <c r="I125" i="26" s="1"/>
  <c r="D125" i="26"/>
  <c r="E125" i="26" s="1"/>
  <c r="F125" i="26" s="1"/>
  <c r="G125" i="26" s="1"/>
  <c r="H124" i="26"/>
  <c r="I124" i="26" s="1"/>
  <c r="D124" i="26"/>
  <c r="E124" i="26" s="1"/>
  <c r="F124" i="26" s="1"/>
  <c r="G124" i="26" s="1"/>
  <c r="H122" i="26"/>
  <c r="I122" i="26" s="1"/>
  <c r="D122" i="26"/>
  <c r="E122" i="26" s="1"/>
  <c r="F122" i="26" s="1"/>
  <c r="G122" i="26" s="1"/>
  <c r="H121" i="26"/>
  <c r="I121" i="26" s="1"/>
  <c r="D121" i="26"/>
  <c r="E121" i="26" s="1"/>
  <c r="F121" i="26" s="1"/>
  <c r="G121" i="26" s="1"/>
  <c r="H119" i="26"/>
  <c r="I119" i="26" s="1"/>
  <c r="D119" i="26"/>
  <c r="E119" i="26" s="1"/>
  <c r="F119" i="26" s="1"/>
  <c r="G119" i="26" s="1"/>
  <c r="H118" i="26"/>
  <c r="I118" i="26" s="1"/>
  <c r="D118" i="26"/>
  <c r="E118" i="26" s="1"/>
  <c r="F118" i="26" s="1"/>
  <c r="G118" i="26" s="1"/>
  <c r="H116" i="26"/>
  <c r="I116" i="26" s="1"/>
  <c r="D116" i="26"/>
  <c r="E116" i="26" s="1"/>
  <c r="F116" i="26" s="1"/>
  <c r="G116" i="26" s="1"/>
  <c r="H115" i="26"/>
  <c r="I115" i="26" s="1"/>
  <c r="D115" i="26"/>
  <c r="E115" i="26" s="1"/>
  <c r="F115" i="26" s="1"/>
  <c r="G115" i="26" s="1"/>
  <c r="H113" i="26"/>
  <c r="I113" i="26" s="1"/>
  <c r="H112" i="26"/>
  <c r="I112" i="26" s="1"/>
  <c r="D112" i="26"/>
  <c r="E112" i="26" s="1"/>
  <c r="H110" i="26"/>
  <c r="I110" i="26" s="1"/>
  <c r="D110" i="26"/>
  <c r="E110" i="26" s="1"/>
  <c r="F110" i="26" s="1"/>
  <c r="G110" i="26" s="1"/>
  <c r="H109" i="26"/>
  <c r="I109" i="26" s="1"/>
  <c r="D109" i="26"/>
  <c r="E109" i="26" s="1"/>
  <c r="F109" i="26" s="1"/>
  <c r="G109" i="26" s="1"/>
  <c r="H107" i="26"/>
  <c r="I107" i="26" s="1"/>
  <c r="D107" i="26"/>
  <c r="E107" i="26" s="1"/>
  <c r="F107" i="26" s="1"/>
  <c r="G107" i="26" s="1"/>
  <c r="I106" i="26"/>
  <c r="D106" i="26"/>
  <c r="E106" i="26" s="1"/>
  <c r="F106" i="26" s="1"/>
  <c r="G106" i="26" s="1"/>
  <c r="H104" i="26"/>
  <c r="I104" i="26" s="1"/>
  <c r="D104" i="26"/>
  <c r="E104" i="26" s="1"/>
  <c r="F104" i="26" s="1"/>
  <c r="G104" i="26" s="1"/>
  <c r="H101" i="26"/>
  <c r="I101" i="26" s="1"/>
  <c r="D101" i="26"/>
  <c r="E101" i="26" s="1"/>
  <c r="F101" i="26" s="1"/>
  <c r="G101" i="26" s="1"/>
  <c r="H99" i="26"/>
  <c r="I99" i="26" s="1"/>
  <c r="D99" i="26"/>
  <c r="E99" i="26" s="1"/>
  <c r="F99" i="26" s="1"/>
  <c r="G99" i="26" s="1"/>
  <c r="H96" i="26"/>
  <c r="I96" i="26" s="1"/>
  <c r="D96" i="26"/>
  <c r="E96" i="26" s="1"/>
  <c r="F96" i="26" s="1"/>
  <c r="G96" i="26" s="1"/>
  <c r="M123" i="8"/>
  <c r="L123" i="8"/>
  <c r="M122" i="8"/>
  <c r="L122" i="8"/>
  <c r="M120" i="8"/>
  <c r="L120" i="8"/>
  <c r="M119" i="8"/>
  <c r="L119" i="8"/>
  <c r="M117" i="8"/>
  <c r="L117" i="8"/>
  <c r="M116" i="8"/>
  <c r="L116" i="8"/>
  <c r="M114" i="8"/>
  <c r="L114" i="8"/>
  <c r="M113" i="8"/>
  <c r="L113" i="8"/>
  <c r="L111" i="8"/>
  <c r="M110" i="8"/>
  <c r="L110" i="8"/>
  <c r="M108" i="8"/>
  <c r="L108" i="8"/>
  <c r="M107" i="8"/>
  <c r="L107" i="8"/>
  <c r="M105" i="8"/>
  <c r="L105" i="8"/>
  <c r="M104" i="8"/>
  <c r="L104" i="8"/>
  <c r="M99" i="8"/>
  <c r="L99" i="8"/>
  <c r="M97" i="8"/>
  <c r="L97" i="8"/>
  <c r="M94" i="8"/>
  <c r="L94" i="8"/>
  <c r="H4" i="26"/>
  <c r="I4" i="26" s="1"/>
  <c r="J4" i="26" s="1"/>
  <c r="K4" i="26" s="1"/>
  <c r="H5" i="26"/>
  <c r="H9" i="26"/>
  <c r="H13" i="26"/>
  <c r="I13" i="26" s="1"/>
  <c r="J13" i="26" s="1"/>
  <c r="K13" i="26" s="1"/>
  <c r="H14" i="26"/>
  <c r="I14" i="26" s="1"/>
  <c r="J14" i="26" s="1"/>
  <c r="K14" i="26" s="1"/>
  <c r="H15" i="26"/>
  <c r="I15" i="26" s="1"/>
  <c r="J15" i="26" s="1"/>
  <c r="K15" i="26" s="1"/>
  <c r="H16" i="26"/>
  <c r="I16" i="26" s="1"/>
  <c r="J16" i="26" s="1"/>
  <c r="K16" i="26" s="1"/>
  <c r="H18" i="26"/>
  <c r="I18" i="26" s="1"/>
  <c r="H19" i="26"/>
  <c r="I19" i="26" s="1"/>
  <c r="H21" i="26"/>
  <c r="I21" i="26" s="1"/>
  <c r="J21" i="26" s="1"/>
  <c r="K21" i="26" s="1"/>
  <c r="H26" i="26"/>
  <c r="H46" i="26" s="1"/>
  <c r="H66" i="26" s="1"/>
  <c r="H94" i="26" s="1"/>
  <c r="I26" i="26"/>
  <c r="I46" i="26" s="1"/>
  <c r="I66" i="26" s="1"/>
  <c r="I94" i="26" s="1"/>
  <c r="J26" i="26"/>
  <c r="J46" i="26" s="1"/>
  <c r="J66" i="26" s="1"/>
  <c r="J94" i="26" s="1"/>
  <c r="K26" i="26"/>
  <c r="K46" i="26" s="1"/>
  <c r="K66" i="26" s="1"/>
  <c r="K94" i="26" s="1"/>
  <c r="H29" i="26"/>
  <c r="H30" i="26"/>
  <c r="H32" i="26"/>
  <c r="H33" i="26"/>
  <c r="H35" i="26"/>
  <c r="H36" i="26"/>
  <c r="H37" i="26"/>
  <c r="H68" i="26"/>
  <c r="I68" i="26" s="1"/>
  <c r="H69" i="26"/>
  <c r="I69" i="26" s="1"/>
  <c r="J69" i="26" s="1"/>
  <c r="K69" i="26" s="1"/>
  <c r="H70" i="26"/>
  <c r="I70" i="26" s="1"/>
  <c r="J70" i="26" s="1"/>
  <c r="K70" i="26" s="1"/>
  <c r="H71" i="26"/>
  <c r="I71" i="26" s="1"/>
  <c r="J71" i="26" s="1"/>
  <c r="K71" i="26" s="1"/>
  <c r="H72" i="26"/>
  <c r="H74" i="26"/>
  <c r="H75" i="26"/>
  <c r="I75" i="26" s="1"/>
  <c r="J75" i="26" s="1"/>
  <c r="K75" i="26" s="1"/>
  <c r="H76" i="26"/>
  <c r="H77" i="26"/>
  <c r="H78" i="26"/>
  <c r="I78" i="26" s="1"/>
  <c r="J78" i="26" s="1"/>
  <c r="K78" i="26" s="1"/>
  <c r="H79" i="26"/>
  <c r="H80" i="26"/>
  <c r="I80" i="26" s="1"/>
  <c r="J80" i="26" s="1"/>
  <c r="K80" i="26" s="1"/>
  <c r="H82" i="26"/>
  <c r="H83" i="26"/>
  <c r="H84" i="26"/>
  <c r="I84" i="26" s="1"/>
  <c r="J84" i="26" s="1"/>
  <c r="K84" i="26" s="1"/>
  <c r="H86" i="26"/>
  <c r="I86" i="26" s="1"/>
  <c r="J86" i="26" s="1"/>
  <c r="K86" i="26" s="1"/>
  <c r="H88" i="26"/>
  <c r="H89" i="26"/>
  <c r="I89" i="26" s="1"/>
  <c r="J89" i="26" s="1"/>
  <c r="K89" i="26" s="1"/>
  <c r="H90" i="26"/>
  <c r="I90" i="26" s="1"/>
  <c r="J90" i="26" s="1"/>
  <c r="K90" i="26" s="1"/>
  <c r="H91" i="26"/>
  <c r="M88" i="8"/>
  <c r="L88" i="8"/>
  <c r="M87" i="8"/>
  <c r="L87" i="8"/>
  <c r="M84" i="8"/>
  <c r="L84" i="8"/>
  <c r="M83" i="8"/>
  <c r="L83" i="8"/>
  <c r="M82" i="8"/>
  <c r="L82" i="8"/>
  <c r="M81" i="8"/>
  <c r="L81" i="8"/>
  <c r="L80" i="8"/>
  <c r="M78" i="8"/>
  <c r="L78" i="8"/>
  <c r="M77" i="8"/>
  <c r="L77" i="8"/>
  <c r="M76" i="8"/>
  <c r="L76" i="8"/>
  <c r="M73" i="8"/>
  <c r="L73" i="8"/>
  <c r="M72" i="8"/>
  <c r="L72" i="8"/>
  <c r="M70" i="8"/>
  <c r="L70" i="8"/>
  <c r="M69" i="8"/>
  <c r="L69" i="8"/>
  <c r="M68" i="8"/>
  <c r="L68" i="8"/>
  <c r="M67" i="8"/>
  <c r="L67" i="8"/>
  <c r="M66" i="8"/>
  <c r="L66" i="8"/>
  <c r="I89" i="8"/>
  <c r="J88" i="8"/>
  <c r="I88" i="8"/>
  <c r="J87" i="8"/>
  <c r="I87" i="8"/>
  <c r="J86" i="8"/>
  <c r="I86" i="8"/>
  <c r="J84" i="8"/>
  <c r="I84" i="8"/>
  <c r="J83" i="8"/>
  <c r="I83" i="8"/>
  <c r="J82" i="8"/>
  <c r="I82" i="8"/>
  <c r="J81" i="8"/>
  <c r="I81" i="8"/>
  <c r="J80" i="8"/>
  <c r="I80" i="8"/>
  <c r="J78" i="8"/>
  <c r="I78" i="8"/>
  <c r="J77" i="8"/>
  <c r="I77" i="8"/>
  <c r="J76" i="8"/>
  <c r="I76" i="8"/>
  <c r="J75" i="8"/>
  <c r="I75" i="8"/>
  <c r="J74" i="8"/>
  <c r="I74" i="8"/>
  <c r="J73" i="8"/>
  <c r="J72" i="8"/>
  <c r="I72" i="8"/>
  <c r="J70" i="8"/>
  <c r="I70" i="8"/>
  <c r="J69" i="8"/>
  <c r="I69" i="8"/>
  <c r="J68" i="8"/>
  <c r="I68" i="8"/>
  <c r="J67" i="8"/>
  <c r="I67" i="8"/>
  <c r="J66" i="8"/>
  <c r="I66" i="8"/>
  <c r="M41" i="8"/>
  <c r="L41" i="8"/>
  <c r="K7" i="8"/>
  <c r="K11" i="8" s="1"/>
  <c r="K17" i="8" s="1"/>
  <c r="J97" i="8"/>
  <c r="I97" i="8"/>
  <c r="J94" i="8"/>
  <c r="I94" i="8"/>
  <c r="J102" i="8"/>
  <c r="I102" i="8"/>
  <c r="J99" i="8"/>
  <c r="I99" i="8"/>
  <c r="L86" i="8" l="1"/>
  <c r="M86" i="8"/>
  <c r="I83" i="26"/>
  <c r="J83" i="26" s="1"/>
  <c r="K83" i="26" s="1"/>
  <c r="I79" i="26"/>
  <c r="J79" i="26" s="1"/>
  <c r="K79" i="26" s="1"/>
  <c r="I77" i="26"/>
  <c r="J77" i="26" s="1"/>
  <c r="K77" i="26" s="1"/>
  <c r="M75" i="8"/>
  <c r="L75" i="8"/>
  <c r="M74" i="8"/>
  <c r="L74" i="8"/>
  <c r="I74" i="26"/>
  <c r="J74" i="26" s="1"/>
  <c r="K74" i="26" s="1"/>
  <c r="E85" i="26"/>
  <c r="F85" i="26" s="1"/>
  <c r="G85" i="26" s="1"/>
  <c r="J85" i="26"/>
  <c r="I91" i="26"/>
  <c r="J91" i="26" s="1"/>
  <c r="K91" i="26" s="1"/>
  <c r="I29" i="26"/>
  <c r="J29" i="26" s="1"/>
  <c r="N29" i="26"/>
  <c r="I30" i="26"/>
  <c r="J30" i="26" s="1"/>
  <c r="K30" i="26" s="1"/>
  <c r="N30" i="26"/>
  <c r="I32" i="26"/>
  <c r="J32" i="26" s="1"/>
  <c r="N32" i="26"/>
  <c r="I33" i="26"/>
  <c r="J33" i="26" s="1"/>
  <c r="N33" i="26"/>
  <c r="I35" i="26"/>
  <c r="J35" i="26" s="1"/>
  <c r="N35" i="26"/>
  <c r="I36" i="26"/>
  <c r="J36" i="26" s="1"/>
  <c r="N36" i="26"/>
  <c r="I37" i="26"/>
  <c r="J37" i="26" s="1"/>
  <c r="N37" i="26"/>
  <c r="I5" i="26"/>
  <c r="H6" i="26"/>
  <c r="H20" i="26"/>
  <c r="I9" i="26"/>
  <c r="H10" i="26"/>
  <c r="H81" i="26"/>
  <c r="I82" i="26"/>
  <c r="A3" i="4"/>
  <c r="A4" i="4" s="1"/>
  <c r="A5" i="4" s="1"/>
  <c r="J68" i="26"/>
  <c r="I72" i="26"/>
  <c r="H67" i="26"/>
  <c r="H73" i="26"/>
  <c r="I76" i="26"/>
  <c r="H87" i="26"/>
  <c r="I88" i="26"/>
  <c r="A6" i="4" l="1"/>
  <c r="A7" i="4" s="1"/>
  <c r="A8" i="4" s="1"/>
  <c r="A9" i="4" s="1"/>
  <c r="A10" i="4" s="1"/>
  <c r="A11" i="4" s="1"/>
  <c r="A12" i="4" s="1"/>
  <c r="A13" i="4" s="1"/>
  <c r="A14" i="4" s="1"/>
  <c r="A15" i="4" s="1"/>
  <c r="I6" i="26"/>
  <c r="J5" i="26"/>
  <c r="J19" i="26"/>
  <c r="I20" i="26"/>
  <c r="J76" i="26"/>
  <c r="I73" i="26"/>
  <c r="I10" i="26"/>
  <c r="J9" i="26"/>
  <c r="I81" i="26"/>
  <c r="J82" i="26"/>
  <c r="K29" i="26"/>
  <c r="K32" i="26"/>
  <c r="K33" i="26"/>
  <c r="K35" i="26"/>
  <c r="K36" i="26"/>
  <c r="K37" i="26"/>
  <c r="K68" i="26"/>
  <c r="I87" i="26"/>
  <c r="J88" i="26"/>
  <c r="J72" i="26"/>
  <c r="I67" i="26"/>
  <c r="C27" i="26"/>
  <c r="B27" i="26"/>
  <c r="J41" i="8"/>
  <c r="I41" i="8"/>
  <c r="C61" i="8"/>
  <c r="B61" i="8"/>
  <c r="C47" i="8"/>
  <c r="C47" i="26" s="1"/>
  <c r="B47" i="8"/>
  <c r="B47" i="26" s="1"/>
  <c r="J108" i="8"/>
  <c r="I108" i="8"/>
  <c r="J107" i="8"/>
  <c r="I107" i="8"/>
  <c r="J114" i="8"/>
  <c r="I114" i="8"/>
  <c r="J113" i="8"/>
  <c r="I113" i="8"/>
  <c r="J105" i="8"/>
  <c r="I105" i="8"/>
  <c r="J104" i="8"/>
  <c r="I104" i="8"/>
  <c r="CO82" i="4"/>
  <c r="I11" i="5"/>
  <c r="K11" i="5"/>
  <c r="M11" i="5"/>
  <c r="O11" i="5"/>
  <c r="Q11" i="5"/>
  <c r="CC32" i="4"/>
  <c r="D85" i="8"/>
  <c r="E71" i="8"/>
  <c r="D19" i="26"/>
  <c r="E19" i="26" s="1"/>
  <c r="F19" i="26" s="1"/>
  <c r="G19" i="26" s="1"/>
  <c r="G7" i="8"/>
  <c r="G11" i="8" s="1"/>
  <c r="F7" i="8"/>
  <c r="F11" i="8" s="1"/>
  <c r="E7" i="8"/>
  <c r="E11" i="8" s="1"/>
  <c r="D7" i="8"/>
  <c r="H79" i="8"/>
  <c r="L19" i="21"/>
  <c r="F83" i="7"/>
  <c r="F82" i="7"/>
  <c r="F81" i="7"/>
  <c r="F79" i="7"/>
  <c r="F78" i="7"/>
  <c r="F77" i="7"/>
  <c r="F76" i="7"/>
  <c r="CX95" i="4"/>
  <c r="CU95" i="4"/>
  <c r="CR95" i="4"/>
  <c r="CO95" i="4"/>
  <c r="CX4" i="4"/>
  <c r="CU4" i="4"/>
  <c r="CR4" i="4"/>
  <c r="K4" i="22" s="1"/>
  <c r="CO4" i="4"/>
  <c r="CX39" i="4"/>
  <c r="CU39" i="4"/>
  <c r="CR39" i="4"/>
  <c r="K16" i="22" s="1"/>
  <c r="CX15" i="4"/>
  <c r="CU15" i="4"/>
  <c r="CR15" i="4"/>
  <c r="CO15" i="4"/>
  <c r="CZ45" i="4"/>
  <c r="CY45" i="4"/>
  <c r="CW45" i="4"/>
  <c r="CV45" i="4"/>
  <c r="CT45" i="4"/>
  <c r="CS45" i="4"/>
  <c r="CQ45" i="4"/>
  <c r="CP45" i="4"/>
  <c r="CN45" i="4"/>
  <c r="CM45" i="4"/>
  <c r="CK45" i="4"/>
  <c r="CJ45" i="4"/>
  <c r="CH45" i="4"/>
  <c r="CG45" i="4"/>
  <c r="CE45" i="4"/>
  <c r="CD45" i="4"/>
  <c r="CO39" i="4"/>
  <c r="CQ33" i="4"/>
  <c r="CP33" i="4"/>
  <c r="CE33" i="4"/>
  <c r="CD33" i="4"/>
  <c r="CZ14" i="4"/>
  <c r="CY14" i="4"/>
  <c r="CW14" i="4"/>
  <c r="CV14" i="4"/>
  <c r="CT14" i="4"/>
  <c r="CS14" i="4"/>
  <c r="CQ14" i="4"/>
  <c r="CP14" i="4"/>
  <c r="CN14" i="4"/>
  <c r="CM14" i="4"/>
  <c r="CK14" i="4"/>
  <c r="CJ14" i="4"/>
  <c r="CH14" i="4"/>
  <c r="CG14" i="4"/>
  <c r="CE14" i="4"/>
  <c r="CD14" i="4"/>
  <c r="CZ26" i="4"/>
  <c r="CY26" i="4"/>
  <c r="CW26" i="4"/>
  <c r="CV26" i="4"/>
  <c r="CT26" i="4"/>
  <c r="CS26" i="4"/>
  <c r="CQ26" i="4"/>
  <c r="CP26" i="4"/>
  <c r="CN26" i="4"/>
  <c r="CM26" i="4"/>
  <c r="CK26" i="4"/>
  <c r="CJ26" i="4"/>
  <c r="CH26" i="4"/>
  <c r="CG26" i="4"/>
  <c r="CE26" i="4"/>
  <c r="CD26" i="4"/>
  <c r="D90" i="26"/>
  <c r="E90" i="26" s="1"/>
  <c r="F90" i="26" s="1"/>
  <c r="G90" i="26" s="1"/>
  <c r="D89" i="26"/>
  <c r="E89" i="26" s="1"/>
  <c r="F89" i="26" s="1"/>
  <c r="G89" i="26" s="1"/>
  <c r="D88" i="26"/>
  <c r="D86" i="26"/>
  <c r="E86" i="26" s="1"/>
  <c r="F86" i="26" s="1"/>
  <c r="G86" i="26" s="1"/>
  <c r="D84" i="26"/>
  <c r="E84" i="26" s="1"/>
  <c r="F84" i="26" s="1"/>
  <c r="G84" i="26" s="1"/>
  <c r="D83" i="26"/>
  <c r="E83" i="26" s="1"/>
  <c r="F83" i="26" s="1"/>
  <c r="G83" i="26" s="1"/>
  <c r="D82" i="26"/>
  <c r="D80" i="26"/>
  <c r="E80" i="26" s="1"/>
  <c r="F80" i="26" s="1"/>
  <c r="G80" i="26" s="1"/>
  <c r="D79" i="26"/>
  <c r="E79" i="26" s="1"/>
  <c r="F79" i="26" s="1"/>
  <c r="G79" i="26" s="1"/>
  <c r="G75" i="7" s="1"/>
  <c r="H75" i="7" s="1"/>
  <c r="D78" i="26"/>
  <c r="E78" i="26" s="1"/>
  <c r="F78" i="26" s="1"/>
  <c r="G78" i="26" s="1"/>
  <c r="G74" i="7" s="1"/>
  <c r="H74" i="7" s="1"/>
  <c r="D77" i="26"/>
  <c r="E77" i="26" s="1"/>
  <c r="F77" i="26" s="1"/>
  <c r="G77" i="26" s="1"/>
  <c r="G73" i="7" s="1"/>
  <c r="H73" i="7" s="1"/>
  <c r="D76" i="26"/>
  <c r="E76" i="26" s="1"/>
  <c r="F76" i="26" s="1"/>
  <c r="G76" i="26" s="1"/>
  <c r="G72" i="7" s="1"/>
  <c r="H72" i="7" s="1"/>
  <c r="D75" i="26"/>
  <c r="E75" i="26" s="1"/>
  <c r="F75" i="26" s="1"/>
  <c r="D74" i="26"/>
  <c r="E74" i="26" s="1"/>
  <c r="F74" i="26" s="1"/>
  <c r="D72" i="26"/>
  <c r="E72" i="26" s="1"/>
  <c r="F72" i="26" s="1"/>
  <c r="G72" i="26" s="1"/>
  <c r="G68" i="7" s="1"/>
  <c r="H68" i="7" s="1"/>
  <c r="D71" i="26"/>
  <c r="E71" i="26" s="1"/>
  <c r="F71" i="26" s="1"/>
  <c r="G71" i="26" s="1"/>
  <c r="G67" i="7" s="1"/>
  <c r="H67" i="7" s="1"/>
  <c r="D70" i="26"/>
  <c r="E70" i="26" s="1"/>
  <c r="F70" i="26" s="1"/>
  <c r="G70" i="26" s="1"/>
  <c r="G66" i="7" s="1"/>
  <c r="H66" i="7" s="1"/>
  <c r="D69" i="26"/>
  <c r="E69" i="26" s="1"/>
  <c r="F69" i="26" s="1"/>
  <c r="G69" i="26" s="1"/>
  <c r="G65" i="7" s="1"/>
  <c r="H65" i="7" s="1"/>
  <c r="D68" i="26"/>
  <c r="E68" i="26" s="1"/>
  <c r="F68" i="26" s="1"/>
  <c r="G68" i="26" s="1"/>
  <c r="D42" i="26"/>
  <c r="E42" i="26" s="1"/>
  <c r="D37" i="26"/>
  <c r="E37" i="26" s="1"/>
  <c r="F37" i="26" s="1"/>
  <c r="G37" i="26" s="1"/>
  <c r="D36" i="26"/>
  <c r="E36" i="26" s="1"/>
  <c r="F36" i="26" s="1"/>
  <c r="D35" i="26"/>
  <c r="E35" i="26" s="1"/>
  <c r="F35" i="26" s="1"/>
  <c r="G35" i="26" s="1"/>
  <c r="D33" i="26"/>
  <c r="E33" i="26" s="1"/>
  <c r="F33" i="26" s="1"/>
  <c r="G33" i="26" s="1"/>
  <c r="D32" i="26"/>
  <c r="E32" i="26" s="1"/>
  <c r="F32" i="26" s="1"/>
  <c r="G32" i="26" s="1"/>
  <c r="D30" i="26"/>
  <c r="E30" i="26" s="1"/>
  <c r="F30" i="26" s="1"/>
  <c r="G30" i="26" s="1"/>
  <c r="D29" i="26"/>
  <c r="E29" i="26" s="1"/>
  <c r="F29" i="26" s="1"/>
  <c r="D21" i="26"/>
  <c r="E21" i="26" s="1"/>
  <c r="F21" i="26" s="1"/>
  <c r="G21" i="26" s="1"/>
  <c r="D18" i="26"/>
  <c r="E18" i="26" s="1"/>
  <c r="F18" i="26" s="1"/>
  <c r="G18" i="26" s="1"/>
  <c r="D16" i="26"/>
  <c r="E16" i="26" s="1"/>
  <c r="F16" i="26" s="1"/>
  <c r="G16" i="26" s="1"/>
  <c r="D15" i="26"/>
  <c r="E15" i="26" s="1"/>
  <c r="F15" i="26" s="1"/>
  <c r="G15" i="26" s="1"/>
  <c r="D14" i="26"/>
  <c r="E14" i="26" s="1"/>
  <c r="F14" i="26" s="1"/>
  <c r="G14" i="26" s="1"/>
  <c r="D13" i="26"/>
  <c r="E13" i="26" s="1"/>
  <c r="F13" i="26" s="1"/>
  <c r="G13" i="26" s="1"/>
  <c r="D9" i="26"/>
  <c r="E9" i="26" s="1"/>
  <c r="F9" i="26" s="1"/>
  <c r="G9" i="26" s="1"/>
  <c r="D5" i="26"/>
  <c r="E5" i="26" s="1"/>
  <c r="F5" i="26" s="1"/>
  <c r="G5" i="26" s="1"/>
  <c r="D4" i="26"/>
  <c r="E4" i="26" s="1"/>
  <c r="F4" i="26" s="1"/>
  <c r="G4" i="26" s="1"/>
  <c r="S123" i="8"/>
  <c r="R123" i="8"/>
  <c r="P123" i="8"/>
  <c r="O123" i="8"/>
  <c r="S122" i="8"/>
  <c r="R122" i="8"/>
  <c r="P122" i="8"/>
  <c r="O122" i="8"/>
  <c r="S120" i="8"/>
  <c r="R120" i="8"/>
  <c r="P120" i="8"/>
  <c r="O120" i="8"/>
  <c r="S119" i="8"/>
  <c r="R119" i="8"/>
  <c r="P119" i="8"/>
  <c r="O119" i="8"/>
  <c r="S117" i="8"/>
  <c r="R117" i="8"/>
  <c r="P117" i="8"/>
  <c r="O117" i="8"/>
  <c r="S116" i="8"/>
  <c r="R116" i="8"/>
  <c r="P116" i="8"/>
  <c r="O116" i="8"/>
  <c r="J123" i="8"/>
  <c r="I123" i="8"/>
  <c r="J122" i="8"/>
  <c r="I122" i="8"/>
  <c r="J120" i="8"/>
  <c r="I120" i="8"/>
  <c r="J119" i="8"/>
  <c r="I119" i="8"/>
  <c r="J117" i="8"/>
  <c r="I117" i="8"/>
  <c r="J116" i="8"/>
  <c r="I116" i="8"/>
  <c r="I111" i="8"/>
  <c r="J110" i="8"/>
  <c r="S82" i="8"/>
  <c r="R82" i="8"/>
  <c r="P82" i="8"/>
  <c r="O82" i="8"/>
  <c r="S77" i="8"/>
  <c r="R77" i="8"/>
  <c r="P77" i="8"/>
  <c r="O77" i="8"/>
  <c r="D79" i="8"/>
  <c r="E79" i="8"/>
  <c r="F79" i="8"/>
  <c r="G79" i="8"/>
  <c r="K79" i="8"/>
  <c r="N79" i="8"/>
  <c r="Q79" i="8"/>
  <c r="F110" i="8"/>
  <c r="D111" i="8"/>
  <c r="D113" i="26" s="1"/>
  <c r="G73" i="8"/>
  <c r="I73" i="8" s="1"/>
  <c r="K19" i="21"/>
  <c r="J19" i="21"/>
  <c r="G19" i="21"/>
  <c r="E19" i="21"/>
  <c r="D19" i="21"/>
  <c r="J10" i="26" l="1"/>
  <c r="K9" i="26"/>
  <c r="K10" i="26" s="1"/>
  <c r="F112" i="26"/>
  <c r="G110" i="8"/>
  <c r="E84" i="7"/>
  <c r="F80" i="7"/>
  <c r="A16" i="4"/>
  <c r="A17" i="4" s="1"/>
  <c r="A18" i="4" s="1"/>
  <c r="A19" i="4" s="1"/>
  <c r="A20" i="4" s="1"/>
  <c r="J6" i="26"/>
  <c r="K5" i="26"/>
  <c r="K6" i="26" s="1"/>
  <c r="K19" i="26"/>
  <c r="K20" i="26" s="1"/>
  <c r="J20" i="26"/>
  <c r="K82" i="26"/>
  <c r="K81" i="26" s="1"/>
  <c r="J81" i="26"/>
  <c r="J73" i="26"/>
  <c r="K76" i="26"/>
  <c r="K73" i="26" s="1"/>
  <c r="J79" i="8"/>
  <c r="I79" i="8"/>
  <c r="M79" i="8"/>
  <c r="L79" i="8"/>
  <c r="K72" i="26"/>
  <c r="K67" i="26" s="1"/>
  <c r="J67" i="26"/>
  <c r="J87" i="26"/>
  <c r="K88" i="26"/>
  <c r="K87" i="26" s="1"/>
  <c r="O79" i="8"/>
  <c r="P79" i="8"/>
  <c r="G22" i="8"/>
  <c r="G17" i="8"/>
  <c r="F17" i="8"/>
  <c r="F22" i="8"/>
  <c r="E22" i="8"/>
  <c r="E17" i="8"/>
  <c r="D7" i="26"/>
  <c r="E7" i="26" s="1"/>
  <c r="F7" i="26" s="1"/>
  <c r="G7" i="26" s="1"/>
  <c r="D11" i="8"/>
  <c r="G75" i="26"/>
  <c r="G71" i="7" s="1"/>
  <c r="H71" i="7" s="1"/>
  <c r="E88" i="26"/>
  <c r="E82" i="26"/>
  <c r="D81" i="26"/>
  <c r="G74" i="26"/>
  <c r="F73" i="26"/>
  <c r="G64" i="7"/>
  <c r="H64" i="7" s="1"/>
  <c r="G67" i="26"/>
  <c r="G63" i="7" s="1"/>
  <c r="H63" i="7" s="1"/>
  <c r="J111" i="8"/>
  <c r="R79" i="8"/>
  <c r="S79" i="8"/>
  <c r="E111" i="8"/>
  <c r="I110" i="8" l="1"/>
  <c r="G112" i="26"/>
  <c r="A21" i="4"/>
  <c r="A22" i="4" s="1"/>
  <c r="A23" i="4" s="1"/>
  <c r="A24" i="4" s="1"/>
  <c r="A25" i="4" s="1"/>
  <c r="A26" i="4" s="1"/>
  <c r="A27" i="4" s="1"/>
  <c r="A28" i="4" s="1"/>
  <c r="F111" i="8"/>
  <c r="M111" i="8"/>
  <c r="E113" i="26"/>
  <c r="D17" i="8"/>
  <c r="D17" i="26" s="1"/>
  <c r="E17" i="26" s="1"/>
  <c r="F17" i="26" s="1"/>
  <c r="G17" i="26" s="1"/>
  <c r="D22" i="8"/>
  <c r="D22" i="26" s="1"/>
  <c r="E22" i="26" s="1"/>
  <c r="F22" i="26" s="1"/>
  <c r="G22" i="26" s="1"/>
  <c r="D11" i="26"/>
  <c r="E11" i="26" s="1"/>
  <c r="F11" i="26" s="1"/>
  <c r="G11" i="26" s="1"/>
  <c r="F88" i="26"/>
  <c r="E81" i="26"/>
  <c r="F82" i="26"/>
  <c r="G73" i="26"/>
  <c r="G69" i="7" s="1"/>
  <c r="H69" i="7" s="1"/>
  <c r="G70" i="7"/>
  <c r="H70" i="7" s="1"/>
  <c r="A29" i="4" l="1"/>
  <c r="A30" i="4" s="1"/>
  <c r="A31" i="4" s="1"/>
  <c r="A32" i="4" s="1"/>
  <c r="A33" i="4" s="1"/>
  <c r="A34" i="4" s="1"/>
  <c r="A35" i="4" s="1"/>
  <c r="A36" i="4" s="1"/>
  <c r="A37" i="4" s="1"/>
  <c r="A38" i="4" s="1"/>
  <c r="A39" i="4" s="1"/>
  <c r="F113" i="26"/>
  <c r="G113" i="26" s="1"/>
  <c r="G88" i="26"/>
  <c r="F81" i="26"/>
  <c r="G82" i="26"/>
  <c r="G81" i="26" s="1"/>
  <c r="AJ11" i="27"/>
  <c r="AK11" i="27" s="1"/>
  <c r="AL11" i="27" s="1"/>
  <c r="AM11" i="27" s="1"/>
  <c r="AJ10" i="27"/>
  <c r="AK10" i="27" s="1"/>
  <c r="AL10" i="27" s="1"/>
  <c r="AM10" i="27" s="1"/>
  <c r="AJ9" i="27"/>
  <c r="AK9" i="27" s="1"/>
  <c r="AL9" i="27" s="1"/>
  <c r="AM9" i="27" s="1"/>
  <c r="AJ8" i="27"/>
  <c r="AK8" i="27" s="1"/>
  <c r="AL8" i="27" s="1"/>
  <c r="AM8" i="27" s="1"/>
  <c r="AJ7" i="27"/>
  <c r="AK7" i="27" s="1"/>
  <c r="AL7" i="27" s="1"/>
  <c r="AM7" i="27" s="1"/>
  <c r="AJ5" i="27"/>
  <c r="AK5" i="27" s="1"/>
  <c r="AL5" i="27" s="1"/>
  <c r="AM5" i="27" s="1"/>
  <c r="AJ4" i="27"/>
  <c r="AK4" i="27" s="1"/>
  <c r="AL4" i="27" s="1"/>
  <c r="AM4" i="27" s="1"/>
  <c r="AJ3" i="27"/>
  <c r="AK3" i="27" s="1"/>
  <c r="AL3" i="27" s="1"/>
  <c r="AM3" i="27" s="1"/>
  <c r="AJ12" i="27"/>
  <c r="AJ6" i="27"/>
  <c r="AK6" i="27" s="1"/>
  <c r="CX47" i="4"/>
  <c r="CX28" i="4"/>
  <c r="CU47" i="4"/>
  <c r="CU28" i="4"/>
  <c r="CU27" i="4" s="1"/>
  <c r="CV15" i="4"/>
  <c r="CU3" i="4"/>
  <c r="CR47" i="4"/>
  <c r="CR46" i="4" s="1"/>
  <c r="CR28" i="4"/>
  <c r="K15" i="22" s="1"/>
  <c r="CZ109" i="4"/>
  <c r="CY109" i="4"/>
  <c r="CW109" i="4"/>
  <c r="CV109" i="4"/>
  <c r="CT109" i="4"/>
  <c r="CS109" i="4"/>
  <c r="CQ109" i="4"/>
  <c r="CP109" i="4"/>
  <c r="CZ108" i="4"/>
  <c r="CZ107" i="4"/>
  <c r="CY107" i="4"/>
  <c r="CW107" i="4"/>
  <c r="CV107" i="4"/>
  <c r="CT107" i="4"/>
  <c r="CS107" i="4"/>
  <c r="CQ107" i="4"/>
  <c r="CP107" i="4"/>
  <c r="CZ106" i="4"/>
  <c r="CY106" i="4"/>
  <c r="CW106" i="4"/>
  <c r="CV106" i="4"/>
  <c r="CT106" i="4"/>
  <c r="CS106" i="4"/>
  <c r="CQ106" i="4"/>
  <c r="CP106" i="4"/>
  <c r="CX105" i="4"/>
  <c r="CU105" i="4"/>
  <c r="CR105" i="4"/>
  <c r="CO105" i="4"/>
  <c r="CZ102" i="4"/>
  <c r="CY102" i="4"/>
  <c r="CW102" i="4"/>
  <c r="CV102" i="4"/>
  <c r="CT102" i="4"/>
  <c r="CS102" i="4"/>
  <c r="CQ102" i="4"/>
  <c r="CP102" i="4"/>
  <c r="CZ101" i="4"/>
  <c r="CY101" i="4"/>
  <c r="CW101" i="4"/>
  <c r="CV101" i="4"/>
  <c r="CT101" i="4"/>
  <c r="CS101" i="4"/>
  <c r="CQ101" i="4"/>
  <c r="CP101" i="4"/>
  <c r="CZ100" i="4"/>
  <c r="CY100" i="4"/>
  <c r="CW100" i="4"/>
  <c r="CV100" i="4"/>
  <c r="CT100" i="4"/>
  <c r="CS100" i="4"/>
  <c r="CQ100" i="4"/>
  <c r="CP100" i="4"/>
  <c r="CZ99" i="4"/>
  <c r="CY99" i="4"/>
  <c r="CW99" i="4"/>
  <c r="CV99" i="4"/>
  <c r="CQ99" i="4"/>
  <c r="CP99" i="4"/>
  <c r="CX98" i="4"/>
  <c r="CU98" i="4"/>
  <c r="CR98" i="4"/>
  <c r="CO98" i="4"/>
  <c r="CZ94" i="4"/>
  <c r="CY94" i="4"/>
  <c r="CW94" i="4"/>
  <c r="CV94" i="4"/>
  <c r="CT94" i="4"/>
  <c r="CS94" i="4"/>
  <c r="CQ94" i="4"/>
  <c r="CP94" i="4"/>
  <c r="CZ93" i="4"/>
  <c r="CY93" i="4"/>
  <c r="CW93" i="4"/>
  <c r="CV93" i="4"/>
  <c r="CT93" i="4"/>
  <c r="CS93" i="4"/>
  <c r="CQ93" i="4"/>
  <c r="CP93" i="4"/>
  <c r="CZ92" i="4"/>
  <c r="CY92" i="4"/>
  <c r="CW92" i="4"/>
  <c r="CV92" i="4"/>
  <c r="CT92" i="4"/>
  <c r="CS92" i="4"/>
  <c r="CQ92" i="4"/>
  <c r="CP92" i="4"/>
  <c r="CZ91" i="4"/>
  <c r="CY91" i="4"/>
  <c r="CW91" i="4"/>
  <c r="CV91" i="4"/>
  <c r="CT91" i="4"/>
  <c r="CS91" i="4"/>
  <c r="CQ91" i="4"/>
  <c r="CP91" i="4"/>
  <c r="CX90" i="4"/>
  <c r="CU90" i="4"/>
  <c r="CR90" i="4"/>
  <c r="CO90" i="4"/>
  <c r="CX87" i="4"/>
  <c r="CY87" i="4" s="1"/>
  <c r="CU87" i="4"/>
  <c r="CR87" i="4"/>
  <c r="CO87" i="4"/>
  <c r="CZ86" i="4"/>
  <c r="CY86" i="4"/>
  <c r="CW86" i="4"/>
  <c r="CV86" i="4"/>
  <c r="CT86" i="4"/>
  <c r="CS86" i="4"/>
  <c r="CP86" i="4"/>
  <c r="CZ85" i="4"/>
  <c r="CY85" i="4"/>
  <c r="CW85" i="4"/>
  <c r="CV85" i="4"/>
  <c r="CT85" i="4"/>
  <c r="CS85" i="4"/>
  <c r="CP85" i="4"/>
  <c r="CZ84" i="4"/>
  <c r="CY84" i="4"/>
  <c r="CW84" i="4"/>
  <c r="CV84" i="4"/>
  <c r="CT84" i="4"/>
  <c r="CS84" i="4"/>
  <c r="CP84" i="4"/>
  <c r="CZ83" i="4"/>
  <c r="CY83" i="4"/>
  <c r="CW83" i="4"/>
  <c r="CV83" i="4"/>
  <c r="CT83" i="4"/>
  <c r="CS83" i="4"/>
  <c r="CP83" i="4"/>
  <c r="CX82" i="4"/>
  <c r="CU82" i="4"/>
  <c r="CR82" i="4"/>
  <c r="CX79" i="4"/>
  <c r="CU79" i="4"/>
  <c r="CR79" i="4"/>
  <c r="CO79" i="4"/>
  <c r="CZ78" i="4"/>
  <c r="CY78" i="4"/>
  <c r="CW78" i="4"/>
  <c r="CV78" i="4"/>
  <c r="CT78" i="4"/>
  <c r="CS78" i="4"/>
  <c r="CP78" i="4"/>
  <c r="CZ77" i="4"/>
  <c r="CY77" i="4"/>
  <c r="CW77" i="4"/>
  <c r="CV77" i="4"/>
  <c r="CT77" i="4"/>
  <c r="CS77" i="4"/>
  <c r="CQ77" i="4"/>
  <c r="CP77" i="4"/>
  <c r="CZ76" i="4"/>
  <c r="CY76" i="4"/>
  <c r="CW76" i="4"/>
  <c r="CV76" i="4"/>
  <c r="CT76" i="4"/>
  <c r="CS76" i="4"/>
  <c r="CQ76" i="4"/>
  <c r="CP76" i="4"/>
  <c r="CZ75" i="4"/>
  <c r="CY75" i="4"/>
  <c r="CW75" i="4"/>
  <c r="CV75" i="4"/>
  <c r="CT75" i="4"/>
  <c r="CS75" i="4"/>
  <c r="CQ75" i="4"/>
  <c r="CP75" i="4"/>
  <c r="CX74" i="4"/>
  <c r="CU74" i="4"/>
  <c r="CR74" i="4"/>
  <c r="CO74" i="4"/>
  <c r="CX71" i="4"/>
  <c r="CU71" i="4"/>
  <c r="CR71" i="4"/>
  <c r="CO71" i="4"/>
  <c r="CZ70" i="4"/>
  <c r="CY70" i="4"/>
  <c r="CW70" i="4"/>
  <c r="CV70" i="4"/>
  <c r="CT70" i="4"/>
  <c r="CS70" i="4"/>
  <c r="CQ70" i="4"/>
  <c r="CP70" i="4"/>
  <c r="CZ69" i="4"/>
  <c r="CY69" i="4"/>
  <c r="CW69" i="4"/>
  <c r="CV69" i="4"/>
  <c r="CT69" i="4"/>
  <c r="CS69" i="4"/>
  <c r="CQ69" i="4"/>
  <c r="CP69" i="4"/>
  <c r="CZ68" i="4"/>
  <c r="CY68" i="4"/>
  <c r="CW68" i="4"/>
  <c r="CV68" i="4"/>
  <c r="CT68" i="4"/>
  <c r="CS68" i="4"/>
  <c r="CQ68" i="4"/>
  <c r="CP68" i="4"/>
  <c r="CX67" i="4"/>
  <c r="CU67" i="4"/>
  <c r="CR67" i="4"/>
  <c r="CO67" i="4"/>
  <c r="CX64" i="4"/>
  <c r="CU64" i="4"/>
  <c r="CR64" i="4"/>
  <c r="CO64" i="4"/>
  <c r="CZ63" i="4"/>
  <c r="CY63" i="4"/>
  <c r="CW63" i="4"/>
  <c r="CV63" i="4"/>
  <c r="CT63" i="4"/>
  <c r="CS63" i="4"/>
  <c r="CQ63" i="4"/>
  <c r="CP63" i="4"/>
  <c r="CZ62" i="4"/>
  <c r="CY62" i="4"/>
  <c r="CW62" i="4"/>
  <c r="CV62" i="4"/>
  <c r="CT62" i="4"/>
  <c r="CS62" i="4"/>
  <c r="CQ62" i="4"/>
  <c r="CP62" i="4"/>
  <c r="CZ61" i="4"/>
  <c r="CY61" i="4"/>
  <c r="CW61" i="4"/>
  <c r="CV61" i="4"/>
  <c r="CT61" i="4"/>
  <c r="CS61" i="4"/>
  <c r="CQ61" i="4"/>
  <c r="CP61" i="4"/>
  <c r="CZ60" i="4"/>
  <c r="CY60" i="4"/>
  <c r="CW60" i="4"/>
  <c r="CV60" i="4"/>
  <c r="CT60" i="4"/>
  <c r="CS60" i="4"/>
  <c r="CQ60" i="4"/>
  <c r="CP60" i="4"/>
  <c r="CZ59" i="4"/>
  <c r="CY59" i="4"/>
  <c r="CW59" i="4"/>
  <c r="CV59" i="4"/>
  <c r="CT59" i="4"/>
  <c r="CS59" i="4"/>
  <c r="CQ59" i="4"/>
  <c r="CP59" i="4"/>
  <c r="CX58" i="4"/>
  <c r="CU58" i="4"/>
  <c r="CR58" i="4"/>
  <c r="CO58" i="4"/>
  <c r="CZ53" i="4"/>
  <c r="CY53" i="4"/>
  <c r="CW53" i="4"/>
  <c r="CV53" i="4"/>
  <c r="CZ52" i="4"/>
  <c r="CY52" i="4"/>
  <c r="CW52" i="4"/>
  <c r="CV52" i="4"/>
  <c r="CT52" i="4"/>
  <c r="CS52" i="4"/>
  <c r="CQ52" i="4"/>
  <c r="CP52" i="4"/>
  <c r="CZ51" i="4"/>
  <c r="CY51" i="4"/>
  <c r="CW51" i="4"/>
  <c r="CV51" i="4"/>
  <c r="CT51" i="4"/>
  <c r="CS51" i="4"/>
  <c r="CQ51" i="4"/>
  <c r="CP51" i="4"/>
  <c r="CZ50" i="4"/>
  <c r="CY50" i="4"/>
  <c r="CW50" i="4"/>
  <c r="CV50" i="4"/>
  <c r="CT50" i="4"/>
  <c r="CS50" i="4"/>
  <c r="CQ50" i="4"/>
  <c r="CQ90" i="4" s="1"/>
  <c r="CP50" i="4"/>
  <c r="CP90" i="4" s="1"/>
  <c r="CZ49" i="4"/>
  <c r="CY49" i="4"/>
  <c r="CW49" i="4"/>
  <c r="CV49" i="4"/>
  <c r="CT49" i="4"/>
  <c r="CS49" i="4"/>
  <c r="CQ49" i="4"/>
  <c r="CP49" i="4"/>
  <c r="CZ48" i="4"/>
  <c r="CY48" i="4"/>
  <c r="CW48" i="4"/>
  <c r="CV48" i="4"/>
  <c r="CT48" i="4"/>
  <c r="CS48" i="4"/>
  <c r="CQ48" i="4"/>
  <c r="CP48" i="4"/>
  <c r="CO47" i="4"/>
  <c r="CZ44" i="4"/>
  <c r="CY44" i="4"/>
  <c r="CW44" i="4"/>
  <c r="CV44" i="4"/>
  <c r="CT44" i="4"/>
  <c r="CS44" i="4"/>
  <c r="CQ44" i="4"/>
  <c r="CP44" i="4"/>
  <c r="CZ43" i="4"/>
  <c r="CY43" i="4"/>
  <c r="CW43" i="4"/>
  <c r="CV43" i="4"/>
  <c r="CT43" i="4"/>
  <c r="CS43" i="4"/>
  <c r="CQ43" i="4"/>
  <c r="CP43" i="4"/>
  <c r="CZ42" i="4"/>
  <c r="CY42" i="4"/>
  <c r="CW42" i="4"/>
  <c r="CV42" i="4"/>
  <c r="CT42" i="4"/>
  <c r="CS42" i="4"/>
  <c r="CQ42" i="4"/>
  <c r="CP42" i="4"/>
  <c r="CZ41" i="4"/>
  <c r="CY41" i="4"/>
  <c r="CW41" i="4"/>
  <c r="CV41" i="4"/>
  <c r="CT41" i="4"/>
  <c r="CS41" i="4"/>
  <c r="CQ41" i="4"/>
  <c r="CP41" i="4"/>
  <c r="CZ40" i="4"/>
  <c r="CY40" i="4"/>
  <c r="CW40" i="4"/>
  <c r="CV40" i="4"/>
  <c r="CT40" i="4"/>
  <c r="CS40" i="4"/>
  <c r="CQ40" i="4"/>
  <c r="CP40" i="4"/>
  <c r="CY39" i="4"/>
  <c r="CV39" i="4"/>
  <c r="CZ38" i="4"/>
  <c r="CY38" i="4"/>
  <c r="CW38" i="4"/>
  <c r="CV38" i="4"/>
  <c r="CT38" i="4"/>
  <c r="CS38" i="4"/>
  <c r="CQ38" i="4"/>
  <c r="CP38" i="4"/>
  <c r="CZ37" i="4"/>
  <c r="CY37" i="4"/>
  <c r="CW37" i="4"/>
  <c r="CV37" i="4"/>
  <c r="CT37" i="4"/>
  <c r="CS37" i="4"/>
  <c r="CQ37" i="4"/>
  <c r="CP37" i="4"/>
  <c r="CZ36" i="4"/>
  <c r="CY36" i="4"/>
  <c r="CW36" i="4"/>
  <c r="CV36" i="4"/>
  <c r="CT36" i="4"/>
  <c r="CS36" i="4"/>
  <c r="CQ36" i="4"/>
  <c r="CP36" i="4"/>
  <c r="CZ35" i="4"/>
  <c r="CY35" i="4"/>
  <c r="CW35" i="4"/>
  <c r="CV35" i="4"/>
  <c r="CT35" i="4"/>
  <c r="CS35" i="4"/>
  <c r="CQ35" i="4"/>
  <c r="CP35" i="4"/>
  <c r="CZ34" i="4"/>
  <c r="CY34" i="4"/>
  <c r="CW34" i="4"/>
  <c r="CV34" i="4"/>
  <c r="CT34" i="4"/>
  <c r="CS34" i="4"/>
  <c r="CQ34" i="4"/>
  <c r="CP34" i="4"/>
  <c r="CZ33" i="4"/>
  <c r="CY33" i="4"/>
  <c r="CW33" i="4"/>
  <c r="CV33" i="4"/>
  <c r="CT33" i="4"/>
  <c r="CS33" i="4"/>
  <c r="CZ32" i="4"/>
  <c r="CY32" i="4"/>
  <c r="CW32" i="4"/>
  <c r="CV32" i="4"/>
  <c r="CT32" i="4"/>
  <c r="CS32" i="4"/>
  <c r="CQ32" i="4"/>
  <c r="CP32" i="4"/>
  <c r="CZ31" i="4"/>
  <c r="CY31" i="4"/>
  <c r="CW31" i="4"/>
  <c r="CV31" i="4"/>
  <c r="CT31" i="4"/>
  <c r="CS31" i="4"/>
  <c r="CQ31" i="4"/>
  <c r="CP31" i="4"/>
  <c r="CZ30" i="4"/>
  <c r="CY30" i="4"/>
  <c r="CW30" i="4"/>
  <c r="CV30" i="4"/>
  <c r="CT30" i="4"/>
  <c r="CS30" i="4"/>
  <c r="CQ30" i="4"/>
  <c r="CP30" i="4"/>
  <c r="CP82" i="4" s="1"/>
  <c r="CZ29" i="4"/>
  <c r="CY29" i="4"/>
  <c r="CW29" i="4"/>
  <c r="CV29" i="4"/>
  <c r="CT29" i="4"/>
  <c r="CS29" i="4"/>
  <c r="CQ29" i="4"/>
  <c r="CP29" i="4"/>
  <c r="CO28" i="4"/>
  <c r="CZ25" i="4"/>
  <c r="CY25" i="4"/>
  <c r="CW25" i="4"/>
  <c r="CV25" i="4"/>
  <c r="CT25" i="4"/>
  <c r="CS25" i="4"/>
  <c r="CQ25" i="4"/>
  <c r="CP25" i="4"/>
  <c r="CZ24" i="4"/>
  <c r="CY24" i="4"/>
  <c r="CW24" i="4"/>
  <c r="CV24" i="4"/>
  <c r="CT24" i="4"/>
  <c r="CS24" i="4"/>
  <c r="CQ24" i="4"/>
  <c r="CP24" i="4"/>
  <c r="CZ23" i="4"/>
  <c r="CY23" i="4"/>
  <c r="CW23" i="4"/>
  <c r="CV23" i="4"/>
  <c r="CT23" i="4"/>
  <c r="CS23" i="4"/>
  <c r="CQ23" i="4"/>
  <c r="CP23" i="4"/>
  <c r="CZ22" i="4"/>
  <c r="CY22" i="4"/>
  <c r="CW22" i="4"/>
  <c r="CV22" i="4"/>
  <c r="CT22" i="4"/>
  <c r="CS22" i="4"/>
  <c r="CQ22" i="4"/>
  <c r="CP22" i="4"/>
  <c r="CZ21" i="4"/>
  <c r="CY21" i="4"/>
  <c r="CW21" i="4"/>
  <c r="CV21" i="4"/>
  <c r="CT21" i="4"/>
  <c r="CS21" i="4"/>
  <c r="CQ21" i="4"/>
  <c r="CP21" i="4"/>
  <c r="CZ20" i="4"/>
  <c r="CY20" i="4"/>
  <c r="CW20" i="4"/>
  <c r="CV20" i="4"/>
  <c r="CT20" i="4"/>
  <c r="CS20" i="4"/>
  <c r="CQ20" i="4"/>
  <c r="CP20" i="4"/>
  <c r="CZ19" i="4"/>
  <c r="CY19" i="4"/>
  <c r="CW19" i="4"/>
  <c r="CV19" i="4"/>
  <c r="CT19" i="4"/>
  <c r="CS19" i="4"/>
  <c r="CQ19" i="4"/>
  <c r="CP19" i="4"/>
  <c r="CZ18" i="4"/>
  <c r="CY18" i="4"/>
  <c r="CW18" i="4"/>
  <c r="CV18" i="4"/>
  <c r="CT18" i="4"/>
  <c r="CS18" i="4"/>
  <c r="CQ18" i="4"/>
  <c r="CP18" i="4"/>
  <c r="CZ17" i="4"/>
  <c r="CY17" i="4"/>
  <c r="CW17" i="4"/>
  <c r="CV17" i="4"/>
  <c r="CT17" i="4"/>
  <c r="CS17" i="4"/>
  <c r="CQ17" i="4"/>
  <c r="CP17" i="4"/>
  <c r="CZ16" i="4"/>
  <c r="CY16" i="4"/>
  <c r="CW16" i="4"/>
  <c r="CV16" i="4"/>
  <c r="CT16" i="4"/>
  <c r="CS16" i="4"/>
  <c r="CQ16" i="4"/>
  <c r="CP16" i="4"/>
  <c r="CZ13" i="4"/>
  <c r="CY13" i="4"/>
  <c r="CW13" i="4"/>
  <c r="CV13" i="4"/>
  <c r="CT13" i="4"/>
  <c r="CS13" i="4"/>
  <c r="CQ13" i="4"/>
  <c r="CP13" i="4"/>
  <c r="CZ12" i="4"/>
  <c r="CY12" i="4"/>
  <c r="CW12" i="4"/>
  <c r="CV12" i="4"/>
  <c r="CT12" i="4"/>
  <c r="CS12" i="4"/>
  <c r="CQ12" i="4"/>
  <c r="CP12" i="4"/>
  <c r="CZ11" i="4"/>
  <c r="CY11" i="4"/>
  <c r="CW11" i="4"/>
  <c r="CV11" i="4"/>
  <c r="CT11" i="4"/>
  <c r="CS11" i="4"/>
  <c r="CZ10" i="4"/>
  <c r="CY10" i="4"/>
  <c r="CW10" i="4"/>
  <c r="CV10" i="4"/>
  <c r="CT10" i="4"/>
  <c r="CS10" i="4"/>
  <c r="CQ10" i="4"/>
  <c r="CP10" i="4"/>
  <c r="CZ9" i="4"/>
  <c r="CY9" i="4"/>
  <c r="CW9" i="4"/>
  <c r="CV9" i="4"/>
  <c r="CT9" i="4"/>
  <c r="CS9" i="4"/>
  <c r="CQ9" i="4"/>
  <c r="CP9" i="4"/>
  <c r="CZ8" i="4"/>
  <c r="CY8" i="4"/>
  <c r="CW8" i="4"/>
  <c r="CV8" i="4"/>
  <c r="CT8" i="4"/>
  <c r="CS8" i="4"/>
  <c r="CQ8" i="4"/>
  <c r="CP8" i="4"/>
  <c r="CZ7" i="4"/>
  <c r="CY7" i="4"/>
  <c r="CW7" i="4"/>
  <c r="CV7" i="4"/>
  <c r="CT7" i="4"/>
  <c r="CS7" i="4"/>
  <c r="CQ7" i="4"/>
  <c r="CP7" i="4"/>
  <c r="CZ6" i="4"/>
  <c r="CY6" i="4"/>
  <c r="CW6" i="4"/>
  <c r="CV6" i="4"/>
  <c r="CT6" i="4"/>
  <c r="CS6" i="4"/>
  <c r="CQ6" i="4"/>
  <c r="CP6" i="4"/>
  <c r="CZ5" i="4"/>
  <c r="CY5" i="4"/>
  <c r="CW5" i="4"/>
  <c r="CV5" i="4"/>
  <c r="CT5" i="4"/>
  <c r="CS5" i="4"/>
  <c r="CQ5" i="4"/>
  <c r="CP5" i="4"/>
  <c r="CW36" i="10"/>
  <c r="CT36" i="10"/>
  <c r="CQ36" i="10"/>
  <c r="CN36" i="10"/>
  <c r="CY11" i="10"/>
  <c r="CX11" i="10"/>
  <c r="CV11" i="10"/>
  <c r="CU11" i="10"/>
  <c r="CS11" i="10"/>
  <c r="CR11" i="10"/>
  <c r="CY10" i="10"/>
  <c r="CX10" i="10"/>
  <c r="CV10" i="10"/>
  <c r="CU10" i="10"/>
  <c r="CS10" i="10"/>
  <c r="CR10" i="10"/>
  <c r="CP10" i="10"/>
  <c r="CO10" i="10"/>
  <c r="CY9" i="10"/>
  <c r="CX9" i="10"/>
  <c r="CV9" i="10"/>
  <c r="CU9" i="10"/>
  <c r="CS9" i="10"/>
  <c r="CR9" i="10"/>
  <c r="CP9" i="10"/>
  <c r="CO9" i="10"/>
  <c r="CY8" i="10"/>
  <c r="CX8" i="10"/>
  <c r="CV8" i="10"/>
  <c r="CU8" i="10"/>
  <c r="CS8" i="10"/>
  <c r="CR8" i="10"/>
  <c r="CP8" i="10"/>
  <c r="CO8" i="10"/>
  <c r="CY7" i="10"/>
  <c r="CX7" i="10"/>
  <c r="CV7" i="10"/>
  <c r="CU7" i="10"/>
  <c r="CS7" i="10"/>
  <c r="CR7" i="10"/>
  <c r="CP7" i="10"/>
  <c r="CO7" i="10"/>
  <c r="CY6" i="10"/>
  <c r="CX6" i="10"/>
  <c r="CV6" i="10"/>
  <c r="CU6" i="10"/>
  <c r="CS6" i="10"/>
  <c r="CR6" i="10"/>
  <c r="CP6" i="10"/>
  <c r="CO6" i="10"/>
  <c r="CY5" i="10"/>
  <c r="CX5" i="10"/>
  <c r="CV5" i="10"/>
  <c r="CU5" i="10"/>
  <c r="CS5" i="10"/>
  <c r="CR5" i="10"/>
  <c r="CP5" i="10"/>
  <c r="CO5" i="10"/>
  <c r="CY4" i="10"/>
  <c r="CX4" i="10"/>
  <c r="CV4" i="10"/>
  <c r="CU4" i="10"/>
  <c r="CS4" i="10"/>
  <c r="CR4" i="10"/>
  <c r="CP4" i="10"/>
  <c r="CO4" i="10"/>
  <c r="CY3" i="10"/>
  <c r="CX3" i="10"/>
  <c r="CV3" i="10"/>
  <c r="CU3" i="10"/>
  <c r="CS3" i="10"/>
  <c r="CR3" i="10"/>
  <c r="CP3" i="10"/>
  <c r="CO3" i="10"/>
  <c r="Q40" i="8"/>
  <c r="Q39" i="8"/>
  <c r="Q34" i="8"/>
  <c r="Q31" i="8"/>
  <c r="Q28" i="8"/>
  <c r="N40" i="8"/>
  <c r="N39" i="8"/>
  <c r="N34" i="8"/>
  <c r="N31" i="8"/>
  <c r="N28" i="8"/>
  <c r="K40" i="8"/>
  <c r="K39" i="8"/>
  <c r="K34" i="8"/>
  <c r="K31" i="8"/>
  <c r="K28" i="8"/>
  <c r="G36" i="8"/>
  <c r="G31" i="8"/>
  <c r="G29" i="8"/>
  <c r="F40" i="8"/>
  <c r="F39" i="8"/>
  <c r="F34" i="8"/>
  <c r="F31" i="8"/>
  <c r="F28" i="8"/>
  <c r="E40" i="8"/>
  <c r="E39" i="8"/>
  <c r="E34" i="8"/>
  <c r="E31" i="8"/>
  <c r="E28" i="8"/>
  <c r="D40" i="8"/>
  <c r="D39" i="8"/>
  <c r="D34" i="8"/>
  <c r="D31" i="8"/>
  <c r="D28" i="8"/>
  <c r="Q20" i="8"/>
  <c r="Q10" i="8"/>
  <c r="Q7" i="8"/>
  <c r="Q11" i="8" s="1"/>
  <c r="Q6" i="8"/>
  <c r="N20" i="8"/>
  <c r="N10" i="8"/>
  <c r="N7" i="8"/>
  <c r="N8" i="8" s="1"/>
  <c r="N6" i="8"/>
  <c r="K20" i="8"/>
  <c r="K10" i="8"/>
  <c r="K8" i="8"/>
  <c r="K6" i="8"/>
  <c r="K14" i="22" l="1"/>
  <c r="A40" i="4"/>
  <c r="A41" i="4" s="1"/>
  <c r="A42" i="4" s="1"/>
  <c r="A43" i="4" s="1"/>
  <c r="A44" i="4" s="1"/>
  <c r="A45" i="4" s="1"/>
  <c r="A46" i="4" s="1"/>
  <c r="A47" i="4" s="1"/>
  <c r="A48" i="4" s="1"/>
  <c r="CX80" i="4"/>
  <c r="AL6" i="27"/>
  <c r="AM6" i="27" s="1"/>
  <c r="K38" i="8"/>
  <c r="K27" i="8" s="1"/>
  <c r="CS87" i="4"/>
  <c r="CR27" i="4"/>
  <c r="CV28" i="4"/>
  <c r="D40" i="26"/>
  <c r="E40" i="26" s="1"/>
  <c r="F40" i="26" s="1"/>
  <c r="D34" i="26"/>
  <c r="E34" i="26" s="1"/>
  <c r="F34" i="26" s="1"/>
  <c r="D31" i="26"/>
  <c r="E31" i="26" s="1"/>
  <c r="F31" i="26" s="1"/>
  <c r="G31" i="26" s="1"/>
  <c r="D28" i="26"/>
  <c r="E28" i="26" s="1"/>
  <c r="F28" i="26" s="1"/>
  <c r="Q38" i="8"/>
  <c r="E38" i="8"/>
  <c r="CX65" i="4"/>
  <c r="G40" i="8"/>
  <c r="G36" i="26"/>
  <c r="G39" i="8"/>
  <c r="G29" i="26"/>
  <c r="D38" i="8"/>
  <c r="D39" i="26"/>
  <c r="E39" i="26" s="1"/>
  <c r="F39" i="26" s="1"/>
  <c r="CV87" i="4"/>
  <c r="CY95" i="4"/>
  <c r="CV95" i="4"/>
  <c r="CR96" i="4"/>
  <c r="CR3" i="4"/>
  <c r="CX72" i="4"/>
  <c r="CX46" i="4"/>
  <c r="CY47" i="4"/>
  <c r="CU46" i="4"/>
  <c r="CV46" i="4" s="1"/>
  <c r="CV47" i="4"/>
  <c r="CV90" i="4"/>
  <c r="CO96" i="4"/>
  <c r="CV4" i="4"/>
  <c r="CO88" i="4"/>
  <c r="CU54" i="4"/>
  <c r="CO80" i="4"/>
  <c r="CS47" i="4"/>
  <c r="CO46" i="4"/>
  <c r="CS46" i="4" s="1"/>
  <c r="N38" i="8"/>
  <c r="F38" i="8"/>
  <c r="AK36" i="27"/>
  <c r="AJ36" i="27"/>
  <c r="CV98" i="4"/>
  <c r="CU80" i="4"/>
  <c r="CR80" i="4"/>
  <c r="CS71" i="4"/>
  <c r="CU65" i="4"/>
  <c r="CR65" i="4"/>
  <c r="CS64" i="4"/>
  <c r="CO65" i="4"/>
  <c r="CX3" i="4"/>
  <c r="CY3" i="4" s="1"/>
  <c r="CX27" i="4"/>
  <c r="CY15" i="4"/>
  <c r="CY28" i="4"/>
  <c r="CV82" i="4"/>
  <c r="CU72" i="4"/>
  <c r="CY58" i="4"/>
  <c r="CY105" i="4"/>
  <c r="CY74" i="4"/>
  <c r="CV58" i="4"/>
  <c r="CS90" i="4"/>
  <c r="CS39" i="4"/>
  <c r="CO27" i="4"/>
  <c r="CS74" i="4"/>
  <c r="CS28" i="4"/>
  <c r="CS15" i="4"/>
  <c r="CS4" i="4"/>
  <c r="CS67" i="4"/>
  <c r="CS58" i="4"/>
  <c r="CO3" i="4"/>
  <c r="CY27" i="4"/>
  <c r="CP108" i="4"/>
  <c r="CS108" i="4"/>
  <c r="CY108" i="4"/>
  <c r="CV108" i="4"/>
  <c r="CY64" i="4"/>
  <c r="CV79" i="4"/>
  <c r="CS82" i="4"/>
  <c r="CR88" i="4"/>
  <c r="CY4" i="4"/>
  <c r="CV67" i="4"/>
  <c r="CV71" i="4"/>
  <c r="CU88" i="4"/>
  <c r="CY90" i="4"/>
  <c r="CU96" i="4"/>
  <c r="CY98" i="4"/>
  <c r="CX88" i="4"/>
  <c r="CX96" i="4"/>
  <c r="CY79" i="4"/>
  <c r="CS95" i="4"/>
  <c r="CY67" i="4"/>
  <c r="CY71" i="4"/>
  <c r="CS105" i="4"/>
  <c r="CV74" i="4"/>
  <c r="CO72" i="4"/>
  <c r="CY82" i="4"/>
  <c r="CS99" i="4"/>
  <c r="CR72" i="4"/>
  <c r="CS98" i="4"/>
  <c r="CV105" i="4"/>
  <c r="CV64" i="4"/>
  <c r="CS79" i="4"/>
  <c r="CR36" i="10"/>
  <c r="CO11" i="10"/>
  <c r="CU36" i="10"/>
  <c r="CX36" i="10"/>
  <c r="G34" i="8"/>
  <c r="G28" i="8"/>
  <c r="Q22" i="8"/>
  <c r="Q23" i="8" s="1"/>
  <c r="Q17" i="8"/>
  <c r="Q18" i="8" s="1"/>
  <c r="Q12" i="8"/>
  <c r="Q8" i="8"/>
  <c r="N11" i="8"/>
  <c r="A49" i="4" l="1"/>
  <c r="K58" i="8"/>
  <c r="K44" i="8"/>
  <c r="K59" i="8"/>
  <c r="K47" i="8"/>
  <c r="K61" i="8"/>
  <c r="K57" i="8"/>
  <c r="K56" i="8"/>
  <c r="K55" i="8"/>
  <c r="K53" i="8"/>
  <c r="K52" i="8"/>
  <c r="K50" i="8"/>
  <c r="K49" i="8"/>
  <c r="K60" i="8"/>
  <c r="K54" i="8"/>
  <c r="K51" i="8"/>
  <c r="K48" i="8"/>
  <c r="CS27" i="4"/>
  <c r="CR54" i="4"/>
  <c r="CV27" i="4"/>
  <c r="CV3" i="4"/>
  <c r="G39" i="26"/>
  <c r="E62" i="8"/>
  <c r="G38" i="8"/>
  <c r="D62" i="8"/>
  <c r="F27" i="8"/>
  <c r="F58" i="8" s="1"/>
  <c r="G28" i="26"/>
  <c r="Q61" i="8"/>
  <c r="Q47" i="8"/>
  <c r="E27" i="8"/>
  <c r="M27" i="8" s="1"/>
  <c r="N47" i="8"/>
  <c r="N61" i="8"/>
  <c r="D38" i="26"/>
  <c r="D27" i="8"/>
  <c r="D27" i="26" s="1"/>
  <c r="G40" i="26"/>
  <c r="G34" i="26"/>
  <c r="CY46" i="4"/>
  <c r="CX54" i="4"/>
  <c r="CS3" i="4"/>
  <c r="CU55" i="4"/>
  <c r="AL36" i="27"/>
  <c r="CO54" i="4"/>
  <c r="N22" i="8"/>
  <c r="N23" i="8" s="1"/>
  <c r="N17" i="8"/>
  <c r="N18" i="8" s="1"/>
  <c r="J18" i="26" s="1"/>
  <c r="K18" i="26" s="1"/>
  <c r="N12" i="8"/>
  <c r="K22" i="8"/>
  <c r="K23" i="8" s="1"/>
  <c r="K12" i="8"/>
  <c r="Q71" i="8"/>
  <c r="A50" i="4" l="1"/>
  <c r="D58" i="26"/>
  <c r="E27" i="26"/>
  <c r="D47" i="26"/>
  <c r="CV54" i="4"/>
  <c r="CR55" i="4"/>
  <c r="E38" i="26"/>
  <c r="G27" i="8"/>
  <c r="G58" i="8" s="1"/>
  <c r="F51" i="8"/>
  <c r="F54" i="8"/>
  <c r="F59" i="8"/>
  <c r="F60" i="8"/>
  <c r="F48" i="8"/>
  <c r="F55" i="8"/>
  <c r="F56" i="8"/>
  <c r="F49" i="8"/>
  <c r="F50" i="8"/>
  <c r="F57" i="8"/>
  <c r="F52" i="8"/>
  <c r="F61" i="8"/>
  <c r="F53" i="8"/>
  <c r="F47" i="8"/>
  <c r="E58" i="8"/>
  <c r="E47" i="8"/>
  <c r="E61" i="8"/>
  <c r="M61" i="8" s="1"/>
  <c r="E57" i="8"/>
  <c r="E56" i="8"/>
  <c r="E55" i="8"/>
  <c r="E53" i="8"/>
  <c r="E52" i="8"/>
  <c r="E50" i="8"/>
  <c r="E49" i="8"/>
  <c r="E60" i="8"/>
  <c r="E54" i="8"/>
  <c r="E51" i="8"/>
  <c r="E48" i="8"/>
  <c r="E59" i="8"/>
  <c r="D58" i="8"/>
  <c r="D47" i="8"/>
  <c r="D61" i="8"/>
  <c r="D57" i="8"/>
  <c r="D56" i="8"/>
  <c r="D55" i="8"/>
  <c r="D53" i="8"/>
  <c r="D52" i="8"/>
  <c r="D50" i="8"/>
  <c r="D49" i="8"/>
  <c r="D59" i="8"/>
  <c r="D60" i="8"/>
  <c r="D51" i="8"/>
  <c r="D48" i="8"/>
  <c r="D54" i="8"/>
  <c r="CX55" i="4"/>
  <c r="CY54" i="4"/>
  <c r="CO55" i="4"/>
  <c r="CS54" i="4"/>
  <c r="S70" i="8"/>
  <c r="O70" i="8"/>
  <c r="P70" i="8"/>
  <c r="R70" i="8"/>
  <c r="A51" i="4" l="1"/>
  <c r="E47" i="26"/>
  <c r="F27" i="26"/>
  <c r="E58" i="26"/>
  <c r="G59" i="8"/>
  <c r="G48" i="8"/>
  <c r="G60" i="8"/>
  <c r="G54" i="8"/>
  <c r="F38" i="26"/>
  <c r="G49" i="8"/>
  <c r="G56" i="8"/>
  <c r="G51" i="8"/>
  <c r="G50" i="8"/>
  <c r="G52" i="8"/>
  <c r="G53" i="8"/>
  <c r="G55" i="8"/>
  <c r="G61" i="8"/>
  <c r="G57" i="8"/>
  <c r="G47" i="8"/>
  <c r="CK36" i="10"/>
  <c r="S110" i="8"/>
  <c r="R88" i="8"/>
  <c r="R87" i="8"/>
  <c r="R86" i="8"/>
  <c r="R84" i="8"/>
  <c r="S81" i="8"/>
  <c r="R81" i="8"/>
  <c r="R80" i="8"/>
  <c r="R78" i="8"/>
  <c r="R76" i="8"/>
  <c r="R75" i="8"/>
  <c r="R74" i="8"/>
  <c r="S73" i="8"/>
  <c r="R73" i="8"/>
  <c r="R72" i="8"/>
  <c r="R69" i="8"/>
  <c r="R68" i="8"/>
  <c r="R67" i="8"/>
  <c r="R66" i="8"/>
  <c r="Q85" i="8"/>
  <c r="Q65" i="8"/>
  <c r="A52" i="4" l="1"/>
  <c r="CY36" i="10"/>
  <c r="CO36" i="10"/>
  <c r="AM36" i="27" s="1"/>
  <c r="F58" i="26"/>
  <c r="G27" i="26"/>
  <c r="G47" i="26" s="1"/>
  <c r="F47" i="26"/>
  <c r="G38" i="26"/>
  <c r="CL95" i="4"/>
  <c r="CN94" i="4"/>
  <c r="CM94" i="4"/>
  <c r="CK94" i="4"/>
  <c r="CJ94" i="4"/>
  <c r="CH94" i="4"/>
  <c r="CG94" i="4"/>
  <c r="CE94" i="4"/>
  <c r="CD94" i="4"/>
  <c r="CC95" i="4"/>
  <c r="CQ95" i="4" s="1"/>
  <c r="CB94" i="4"/>
  <c r="CA94" i="4"/>
  <c r="CL90" i="4"/>
  <c r="CZ90" i="4" s="1"/>
  <c r="CL105" i="4"/>
  <c r="CL98" i="4"/>
  <c r="CL87" i="4"/>
  <c r="CL82" i="4"/>
  <c r="CZ82" i="4" s="1"/>
  <c r="CL79" i="4"/>
  <c r="CL74" i="4"/>
  <c r="CL71" i="4"/>
  <c r="CL67" i="4"/>
  <c r="CL64" i="4"/>
  <c r="CL58" i="4"/>
  <c r="G58" i="26" l="1"/>
  <c r="A53" i="4"/>
  <c r="CZ95" i="4"/>
  <c r="CP95" i="4"/>
  <c r="CZ105" i="4"/>
  <c r="CP105" i="4"/>
  <c r="CZ98" i="4"/>
  <c r="CP98" i="4"/>
  <c r="CZ87" i="4"/>
  <c r="CP87" i="4"/>
  <c r="CZ79" i="4"/>
  <c r="CP79" i="4"/>
  <c r="CL80" i="4"/>
  <c r="CP74" i="4"/>
  <c r="CZ74" i="4"/>
  <c r="CP71" i="4"/>
  <c r="CZ71" i="4"/>
  <c r="CP67" i="4"/>
  <c r="CZ67" i="4"/>
  <c r="CZ64" i="4"/>
  <c r="CP64" i="4"/>
  <c r="CL65" i="4"/>
  <c r="CZ58" i="4"/>
  <c r="CP58" i="4"/>
  <c r="CL96" i="4"/>
  <c r="CL88" i="4"/>
  <c r="CL72" i="4"/>
  <c r="K17" i="22" l="1"/>
  <c r="A54" i="4"/>
  <c r="T102" i="11"/>
  <c r="T101" i="11"/>
  <c r="T100" i="11"/>
  <c r="T99" i="11"/>
  <c r="T98" i="11"/>
  <c r="T96" i="11"/>
  <c r="T95" i="11"/>
  <c r="T94" i="11"/>
  <c r="T93" i="11"/>
  <c r="T92" i="11"/>
  <c r="T90" i="11"/>
  <c r="T89" i="11"/>
  <c r="T88" i="11"/>
  <c r="T87" i="11"/>
  <c r="T86" i="11"/>
  <c r="T84" i="11"/>
  <c r="T83" i="11"/>
  <c r="T82" i="11"/>
  <c r="T81" i="11"/>
  <c r="T80" i="11"/>
  <c r="T79" i="11"/>
  <c r="T76" i="11"/>
  <c r="T75" i="11"/>
  <c r="T74" i="11"/>
  <c r="T73" i="11"/>
  <c r="T72" i="11"/>
  <c r="T71" i="11"/>
  <c r="T68" i="11"/>
  <c r="T67" i="11"/>
  <c r="T66" i="11"/>
  <c r="T65" i="11"/>
  <c r="T64" i="11"/>
  <c r="T61" i="11"/>
  <c r="T60" i="11"/>
  <c r="T59" i="11"/>
  <c r="T58" i="11"/>
  <c r="T57" i="11"/>
  <c r="T56" i="11"/>
  <c r="T55" i="11"/>
  <c r="T50" i="11"/>
  <c r="T49" i="11"/>
  <c r="T48" i="11"/>
  <c r="T47" i="11"/>
  <c r="T46" i="11"/>
  <c r="T45" i="11"/>
  <c r="T42" i="11"/>
  <c r="T41" i="11"/>
  <c r="T40" i="11"/>
  <c r="T39" i="11"/>
  <c r="T38" i="11"/>
  <c r="T36" i="11"/>
  <c r="T35" i="11"/>
  <c r="T34" i="11"/>
  <c r="T33" i="11"/>
  <c r="T32" i="11"/>
  <c r="T31" i="11"/>
  <c r="T30" i="11"/>
  <c r="T29" i="11"/>
  <c r="T28" i="11"/>
  <c r="T27" i="11"/>
  <c r="T24" i="11"/>
  <c r="T23" i="11"/>
  <c r="T22" i="11"/>
  <c r="T21" i="11"/>
  <c r="T20" i="11"/>
  <c r="T19" i="11"/>
  <c r="T18" i="11"/>
  <c r="T17" i="11"/>
  <c r="T16" i="11"/>
  <c r="T15" i="11"/>
  <c r="T13" i="11"/>
  <c r="T12" i="11"/>
  <c r="T11" i="11"/>
  <c r="T10" i="11"/>
  <c r="T9" i="11"/>
  <c r="T8" i="11"/>
  <c r="T7" i="11"/>
  <c r="T6" i="11"/>
  <c r="T5" i="11"/>
  <c r="CN109" i="4"/>
  <c r="U102" i="11" s="1"/>
  <c r="CM109" i="4"/>
  <c r="CN107" i="4"/>
  <c r="U100" i="11" s="1"/>
  <c r="CM107" i="4"/>
  <c r="CN106" i="4"/>
  <c r="U99" i="11" s="1"/>
  <c r="CM106" i="4"/>
  <c r="CN102" i="4"/>
  <c r="U96" i="11" s="1"/>
  <c r="CM102" i="4"/>
  <c r="CN101" i="4"/>
  <c r="U95" i="11" s="1"/>
  <c r="CM101" i="4"/>
  <c r="CN100" i="4"/>
  <c r="U94" i="11" s="1"/>
  <c r="CM100" i="4"/>
  <c r="CN99" i="4"/>
  <c r="U93" i="11" s="1"/>
  <c r="CM99" i="4"/>
  <c r="CN93" i="4"/>
  <c r="U89" i="11" s="1"/>
  <c r="CM93" i="4"/>
  <c r="CN92" i="4"/>
  <c r="U88" i="11" s="1"/>
  <c r="CM92" i="4"/>
  <c r="CN91" i="4"/>
  <c r="U87" i="11" s="1"/>
  <c r="CM91" i="4"/>
  <c r="CN86" i="4"/>
  <c r="U83" i="11" s="1"/>
  <c r="CM86" i="4"/>
  <c r="CN85" i="4"/>
  <c r="U82" i="11" s="1"/>
  <c r="CM85" i="4"/>
  <c r="CN84" i="4"/>
  <c r="U81" i="11" s="1"/>
  <c r="CM84" i="4"/>
  <c r="CN83" i="4"/>
  <c r="U80" i="11" s="1"/>
  <c r="CM83" i="4"/>
  <c r="CN78" i="4"/>
  <c r="U75" i="11" s="1"/>
  <c r="CM78" i="4"/>
  <c r="CN77" i="4"/>
  <c r="U74" i="11" s="1"/>
  <c r="CM77" i="4"/>
  <c r="CN76" i="4"/>
  <c r="U73" i="11" s="1"/>
  <c r="CM76" i="4"/>
  <c r="CN75" i="4"/>
  <c r="U72" i="11" s="1"/>
  <c r="CM75" i="4"/>
  <c r="CN70" i="4"/>
  <c r="U67" i="11" s="1"/>
  <c r="CM70" i="4"/>
  <c r="CN69" i="4"/>
  <c r="U66" i="11" s="1"/>
  <c r="CM69" i="4"/>
  <c r="CN68" i="4"/>
  <c r="U65" i="11" s="1"/>
  <c r="CM68" i="4"/>
  <c r="CN63" i="4"/>
  <c r="U60" i="11" s="1"/>
  <c r="CM63" i="4"/>
  <c r="CN62" i="4"/>
  <c r="U59" i="11" s="1"/>
  <c r="CM62" i="4"/>
  <c r="CN61" i="4"/>
  <c r="U58" i="11" s="1"/>
  <c r="CM61" i="4"/>
  <c r="CN60" i="4"/>
  <c r="U57" i="11" s="1"/>
  <c r="CM60" i="4"/>
  <c r="CN59" i="4"/>
  <c r="U56" i="11" s="1"/>
  <c r="CM59" i="4"/>
  <c r="U50" i="11"/>
  <c r="CN52" i="4"/>
  <c r="U49" i="11" s="1"/>
  <c r="CM52" i="4"/>
  <c r="CN51" i="4"/>
  <c r="U48" i="11" s="1"/>
  <c r="CM51" i="4"/>
  <c r="CN50" i="4"/>
  <c r="U47" i="11" s="1"/>
  <c r="CM50" i="4"/>
  <c r="CN49" i="4"/>
  <c r="U46" i="11" s="1"/>
  <c r="CM49" i="4"/>
  <c r="CN48" i="4"/>
  <c r="U45" i="11" s="1"/>
  <c r="CM48" i="4"/>
  <c r="CN44" i="4"/>
  <c r="U42" i="11" s="1"/>
  <c r="CM44" i="4"/>
  <c r="CN43" i="4"/>
  <c r="U41" i="11" s="1"/>
  <c r="CM43" i="4"/>
  <c r="CN42" i="4"/>
  <c r="U40" i="11" s="1"/>
  <c r="CM42" i="4"/>
  <c r="CN41" i="4"/>
  <c r="U39" i="11" s="1"/>
  <c r="CM41" i="4"/>
  <c r="CN40" i="4"/>
  <c r="U38" i="11" s="1"/>
  <c r="CM40" i="4"/>
  <c r="CN38" i="4"/>
  <c r="U36" i="11" s="1"/>
  <c r="CM38" i="4"/>
  <c r="CN37" i="4"/>
  <c r="U35" i="11" s="1"/>
  <c r="CM37" i="4"/>
  <c r="CN36" i="4"/>
  <c r="U34" i="11" s="1"/>
  <c r="CM36" i="4"/>
  <c r="CN35" i="4"/>
  <c r="U33" i="11" s="1"/>
  <c r="CM35" i="4"/>
  <c r="CN34" i="4"/>
  <c r="U32" i="11" s="1"/>
  <c r="CM34" i="4"/>
  <c r="CN33" i="4"/>
  <c r="U31" i="11" s="1"/>
  <c r="CM33" i="4"/>
  <c r="CN32" i="4"/>
  <c r="U30" i="11" s="1"/>
  <c r="CM32" i="4"/>
  <c r="CN31" i="4"/>
  <c r="U29" i="11" s="1"/>
  <c r="CM31" i="4"/>
  <c r="CN30" i="4"/>
  <c r="U28" i="11" s="1"/>
  <c r="CM30" i="4"/>
  <c r="CN29" i="4"/>
  <c r="U27" i="11" s="1"/>
  <c r="CM29" i="4"/>
  <c r="CN25" i="4"/>
  <c r="U24" i="11" s="1"/>
  <c r="CM25" i="4"/>
  <c r="CN24" i="4"/>
  <c r="U23" i="11" s="1"/>
  <c r="CM24" i="4"/>
  <c r="CN23" i="4"/>
  <c r="U22" i="11" s="1"/>
  <c r="CM23" i="4"/>
  <c r="CN22" i="4"/>
  <c r="U21" i="11" s="1"/>
  <c r="CM22" i="4"/>
  <c r="CN21" i="4"/>
  <c r="U20" i="11" s="1"/>
  <c r="CM21" i="4"/>
  <c r="CN20" i="4"/>
  <c r="U19" i="11" s="1"/>
  <c r="CM20" i="4"/>
  <c r="CN19" i="4"/>
  <c r="U18" i="11" s="1"/>
  <c r="CM19" i="4"/>
  <c r="CN18" i="4"/>
  <c r="U17" i="11" s="1"/>
  <c r="CM18" i="4"/>
  <c r="CN17" i="4"/>
  <c r="U16" i="11" s="1"/>
  <c r="CM17" i="4"/>
  <c r="CN16" i="4"/>
  <c r="U15" i="11" s="1"/>
  <c r="CM16" i="4"/>
  <c r="CN13" i="4"/>
  <c r="U13" i="11" s="1"/>
  <c r="CM13" i="4"/>
  <c r="CN12" i="4"/>
  <c r="U12" i="11" s="1"/>
  <c r="CM12" i="4"/>
  <c r="CN11" i="4"/>
  <c r="U11" i="11" s="1"/>
  <c r="CM11" i="4"/>
  <c r="CN10" i="4"/>
  <c r="U10" i="11" s="1"/>
  <c r="CM10" i="4"/>
  <c r="CN9" i="4"/>
  <c r="U9" i="11" s="1"/>
  <c r="CM9" i="4"/>
  <c r="CN8" i="4"/>
  <c r="U8" i="11" s="1"/>
  <c r="CM8" i="4"/>
  <c r="CN7" i="4"/>
  <c r="U7" i="11" s="1"/>
  <c r="CM7" i="4"/>
  <c r="CN6" i="4"/>
  <c r="U6" i="11" s="1"/>
  <c r="CM6" i="4"/>
  <c r="CN5" i="4"/>
  <c r="U5" i="11" s="1"/>
  <c r="CM5" i="4"/>
  <c r="CJ109" i="4"/>
  <c r="CK107" i="4"/>
  <c r="CJ107" i="4"/>
  <c r="CK106" i="4"/>
  <c r="CJ106" i="4"/>
  <c r="CK102" i="4"/>
  <c r="CJ102" i="4"/>
  <c r="CK101" i="4"/>
  <c r="CJ101" i="4"/>
  <c r="CK100" i="4"/>
  <c r="CJ100" i="4"/>
  <c r="CK93" i="4"/>
  <c r="CJ93" i="4"/>
  <c r="CK92" i="4"/>
  <c r="CJ92" i="4"/>
  <c r="CK91" i="4"/>
  <c r="CJ91" i="4"/>
  <c r="CK86" i="4"/>
  <c r="CJ86" i="4"/>
  <c r="CK85" i="4"/>
  <c r="CJ85" i="4"/>
  <c r="CK84" i="4"/>
  <c r="CJ84" i="4"/>
  <c r="CK83" i="4"/>
  <c r="CJ83" i="4"/>
  <c r="CK78" i="4"/>
  <c r="CJ78" i="4"/>
  <c r="CK77" i="4"/>
  <c r="CJ77" i="4"/>
  <c r="CK76" i="4"/>
  <c r="CJ76" i="4"/>
  <c r="CK75" i="4"/>
  <c r="CJ75" i="4"/>
  <c r="CK70" i="4"/>
  <c r="CJ70" i="4"/>
  <c r="CK69" i="4"/>
  <c r="CJ69" i="4"/>
  <c r="CK68" i="4"/>
  <c r="CJ68" i="4"/>
  <c r="CK63" i="4"/>
  <c r="CJ63" i="4"/>
  <c r="CK62" i="4"/>
  <c r="CJ62" i="4"/>
  <c r="CK61" i="4"/>
  <c r="CJ61" i="4"/>
  <c r="CK60" i="4"/>
  <c r="CJ60" i="4"/>
  <c r="CK59" i="4"/>
  <c r="CJ59" i="4"/>
  <c r="CK52" i="4"/>
  <c r="CJ52" i="4"/>
  <c r="CK51" i="4"/>
  <c r="CJ51" i="4"/>
  <c r="CK50" i="4"/>
  <c r="CJ50" i="4"/>
  <c r="CK49" i="4"/>
  <c r="CJ49" i="4"/>
  <c r="CK48" i="4"/>
  <c r="CJ48" i="4"/>
  <c r="CK44" i="4"/>
  <c r="CJ44" i="4"/>
  <c r="CK43" i="4"/>
  <c r="CJ43" i="4"/>
  <c r="CK42" i="4"/>
  <c r="CJ42" i="4"/>
  <c r="CK41" i="4"/>
  <c r="CJ41" i="4"/>
  <c r="CK40" i="4"/>
  <c r="CJ40" i="4"/>
  <c r="CK38" i="4"/>
  <c r="CJ38" i="4"/>
  <c r="CK37" i="4"/>
  <c r="CJ37" i="4"/>
  <c r="CK36" i="4"/>
  <c r="CJ36" i="4"/>
  <c r="CK35" i="4"/>
  <c r="CJ35" i="4"/>
  <c r="CK34" i="4"/>
  <c r="CJ34" i="4"/>
  <c r="CK33" i="4"/>
  <c r="CJ33" i="4"/>
  <c r="CK32" i="4"/>
  <c r="CJ32" i="4"/>
  <c r="CK31" i="4"/>
  <c r="CJ31" i="4"/>
  <c r="CK30" i="4"/>
  <c r="CJ30" i="4"/>
  <c r="CK29" i="4"/>
  <c r="CJ29" i="4"/>
  <c r="CK25" i="4"/>
  <c r="CJ25" i="4"/>
  <c r="CK24" i="4"/>
  <c r="CJ24" i="4"/>
  <c r="CK23" i="4"/>
  <c r="CJ23" i="4"/>
  <c r="CK22" i="4"/>
  <c r="CJ22" i="4"/>
  <c r="CK21" i="4"/>
  <c r="CJ21" i="4"/>
  <c r="CK20" i="4"/>
  <c r="CJ20" i="4"/>
  <c r="CK19" i="4"/>
  <c r="CJ19" i="4"/>
  <c r="CK18" i="4"/>
  <c r="CJ18" i="4"/>
  <c r="CK17" i="4"/>
  <c r="CJ17" i="4"/>
  <c r="CK16" i="4"/>
  <c r="CJ16" i="4"/>
  <c r="CK13" i="4"/>
  <c r="CJ13" i="4"/>
  <c r="CK12" i="4"/>
  <c r="CJ12" i="4"/>
  <c r="CK11" i="4"/>
  <c r="CJ11" i="4"/>
  <c r="CK10" i="4"/>
  <c r="CJ10" i="4"/>
  <c r="CK9" i="4"/>
  <c r="CJ9" i="4"/>
  <c r="CK8" i="4"/>
  <c r="CJ8" i="4"/>
  <c r="CK7" i="4"/>
  <c r="CJ7" i="4"/>
  <c r="CK6" i="4"/>
  <c r="CJ6" i="4"/>
  <c r="CK5" i="4"/>
  <c r="CJ5" i="4"/>
  <c r="CG109" i="4"/>
  <c r="CH107" i="4"/>
  <c r="CG107" i="4"/>
  <c r="CH106" i="4"/>
  <c r="CG106" i="4"/>
  <c r="CH102" i="4"/>
  <c r="CG102" i="4"/>
  <c r="CH101" i="4"/>
  <c r="CG101" i="4"/>
  <c r="CH100" i="4"/>
  <c r="CG100" i="4"/>
  <c r="CH93" i="4"/>
  <c r="CG93" i="4"/>
  <c r="CH92" i="4"/>
  <c r="CG92" i="4"/>
  <c r="CH91" i="4"/>
  <c r="CG91" i="4"/>
  <c r="CH86" i="4"/>
  <c r="CG86" i="4"/>
  <c r="CH85" i="4"/>
  <c r="CG85" i="4"/>
  <c r="CH84" i="4"/>
  <c r="CG84" i="4"/>
  <c r="CH83" i="4"/>
  <c r="CG83" i="4"/>
  <c r="CH78" i="4"/>
  <c r="CG78" i="4"/>
  <c r="CH77" i="4"/>
  <c r="CG77" i="4"/>
  <c r="CH76" i="4"/>
  <c r="CG76" i="4"/>
  <c r="CH75" i="4"/>
  <c r="CG75" i="4"/>
  <c r="CH70" i="4"/>
  <c r="CG70" i="4"/>
  <c r="CH69" i="4"/>
  <c r="CG69" i="4"/>
  <c r="CH68" i="4"/>
  <c r="CG68" i="4"/>
  <c r="CH63" i="4"/>
  <c r="CG63" i="4"/>
  <c r="CH62" i="4"/>
  <c r="CG62" i="4"/>
  <c r="CH61" i="4"/>
  <c r="CG61" i="4"/>
  <c r="CH60" i="4"/>
  <c r="CG60" i="4"/>
  <c r="CH59" i="4"/>
  <c r="CG59" i="4"/>
  <c r="CH52" i="4"/>
  <c r="CG52" i="4"/>
  <c r="CH51" i="4"/>
  <c r="CG51" i="4"/>
  <c r="CH50" i="4"/>
  <c r="CG50" i="4"/>
  <c r="CH49" i="4"/>
  <c r="CG49" i="4"/>
  <c r="CH48" i="4"/>
  <c r="CG48" i="4"/>
  <c r="CH44" i="4"/>
  <c r="CG44" i="4"/>
  <c r="CH43" i="4"/>
  <c r="CG43" i="4"/>
  <c r="CH42" i="4"/>
  <c r="CG42" i="4"/>
  <c r="CH41" i="4"/>
  <c r="CG41" i="4"/>
  <c r="CH40" i="4"/>
  <c r="CG40" i="4"/>
  <c r="CH38" i="4"/>
  <c r="CG38" i="4"/>
  <c r="CH37" i="4"/>
  <c r="CG37" i="4"/>
  <c r="CH36" i="4"/>
  <c r="CG36" i="4"/>
  <c r="CH35" i="4"/>
  <c r="CG35" i="4"/>
  <c r="CH34" i="4"/>
  <c r="CG34" i="4"/>
  <c r="CH33" i="4"/>
  <c r="CG33" i="4"/>
  <c r="CH32" i="4"/>
  <c r="CG32" i="4"/>
  <c r="CH31" i="4"/>
  <c r="CG31" i="4"/>
  <c r="CH30" i="4"/>
  <c r="CG30" i="4"/>
  <c r="CH29" i="4"/>
  <c r="CG29" i="4"/>
  <c r="CH25" i="4"/>
  <c r="CG25" i="4"/>
  <c r="CH24" i="4"/>
  <c r="CG24" i="4"/>
  <c r="CH23" i="4"/>
  <c r="CG23" i="4"/>
  <c r="CH22" i="4"/>
  <c r="CG22" i="4"/>
  <c r="CH21" i="4"/>
  <c r="CG21" i="4"/>
  <c r="CH20" i="4"/>
  <c r="CG20" i="4"/>
  <c r="CH19" i="4"/>
  <c r="CG19" i="4"/>
  <c r="CH18" i="4"/>
  <c r="CG18" i="4"/>
  <c r="CH17" i="4"/>
  <c r="CG17" i="4"/>
  <c r="CH16" i="4"/>
  <c r="CG16" i="4"/>
  <c r="CH13" i="4"/>
  <c r="CG13" i="4"/>
  <c r="CH12" i="4"/>
  <c r="CG12" i="4"/>
  <c r="CH11" i="4"/>
  <c r="CG11" i="4"/>
  <c r="CH10" i="4"/>
  <c r="CG10" i="4"/>
  <c r="CH9" i="4"/>
  <c r="CG9" i="4"/>
  <c r="CH8" i="4"/>
  <c r="CG8" i="4"/>
  <c r="CH7" i="4"/>
  <c r="CG7" i="4"/>
  <c r="CH6" i="4"/>
  <c r="CG6" i="4"/>
  <c r="CH5" i="4"/>
  <c r="CG5" i="4"/>
  <c r="H44" i="7"/>
  <c r="H62" i="7" s="1"/>
  <c r="F44" i="7"/>
  <c r="E44" i="7"/>
  <c r="D44" i="7"/>
  <c r="G44" i="7"/>
  <c r="G62" i="7" s="1"/>
  <c r="K29" i="22" l="1"/>
  <c r="K25" i="22"/>
  <c r="H26" i="7"/>
  <c r="G26" i="7"/>
  <c r="AF35" i="27"/>
  <c r="G26" i="26" l="1"/>
  <c r="CL47" i="4" l="1"/>
  <c r="CL39" i="4"/>
  <c r="CL28" i="4"/>
  <c r="CL15" i="4"/>
  <c r="CL3" i="4" s="1"/>
  <c r="T3" i="11" s="1"/>
  <c r="CL4" i="4"/>
  <c r="CZ47" i="4" l="1"/>
  <c r="CP47" i="4"/>
  <c r="CP39" i="4"/>
  <c r="CZ39" i="4"/>
  <c r="CZ28" i="4"/>
  <c r="CP28" i="4"/>
  <c r="CZ15" i="4"/>
  <c r="CP15" i="4"/>
  <c r="CP4" i="4"/>
  <c r="CZ4" i="4"/>
  <c r="CL46" i="4"/>
  <c r="T44" i="11"/>
  <c r="T37" i="11"/>
  <c r="T26" i="11"/>
  <c r="T14" i="11"/>
  <c r="T4" i="11"/>
  <c r="CL27" i="4"/>
  <c r="CZ46" i="4" l="1"/>
  <c r="CP46" i="4"/>
  <c r="CZ27" i="4"/>
  <c r="CP27" i="4"/>
  <c r="CZ3" i="4"/>
  <c r="CP3" i="4"/>
  <c r="T43" i="11"/>
  <c r="CL54" i="4"/>
  <c r="T51" i="11" s="1"/>
  <c r="T52" i="11" s="1"/>
  <c r="T25" i="11"/>
  <c r="CL55" i="4" l="1"/>
  <c r="CP54" i="4"/>
  <c r="CZ54" i="4"/>
  <c r="Q44" i="8" l="1"/>
  <c r="Q62" i="8" l="1"/>
  <c r="Q60" i="8"/>
  <c r="Q59" i="8"/>
  <c r="Q58" i="8"/>
  <c r="Q57" i="8"/>
  <c r="Q56" i="8"/>
  <c r="Q55" i="8"/>
  <c r="Q54" i="8"/>
  <c r="Q53" i="8"/>
  <c r="Q52" i="8"/>
  <c r="Q51" i="8"/>
  <c r="Q50" i="8"/>
  <c r="Q49" i="8"/>
  <c r="Q48" i="8"/>
  <c r="Q26" i="8"/>
  <c r="Q64" i="8" s="1"/>
  <c r="Q92" i="8" s="1"/>
  <c r="CF99" i="4"/>
  <c r="CT99" i="4" s="1"/>
  <c r="C17" i="26"/>
  <c r="S88" i="8"/>
  <c r="S86" i="8"/>
  <c r="D84" i="7"/>
  <c r="F84" i="7" s="1"/>
  <c r="G83" i="7"/>
  <c r="H83" i="7" s="1"/>
  <c r="BR109" i="4"/>
  <c r="BR108" i="4"/>
  <c r="BR99" i="4"/>
  <c r="BR98" i="4"/>
  <c r="BU109" i="4"/>
  <c r="BU108" i="4"/>
  <c r="BU99" i="4"/>
  <c r="BU98" i="4"/>
  <c r="BX109" i="4"/>
  <c r="BX108" i="4"/>
  <c r="BX99" i="4"/>
  <c r="BX98" i="4"/>
  <c r="CD109" i="4"/>
  <c r="CE107" i="4"/>
  <c r="CD107" i="4"/>
  <c r="CE106" i="4"/>
  <c r="CD106" i="4"/>
  <c r="CE102" i="4"/>
  <c r="CD102" i="4"/>
  <c r="CE101" i="4"/>
  <c r="CD101" i="4"/>
  <c r="CE100" i="4"/>
  <c r="CD100" i="4"/>
  <c r="CD99" i="4"/>
  <c r="CB107" i="4"/>
  <c r="CA107" i="4"/>
  <c r="CB106" i="4"/>
  <c r="CA106" i="4"/>
  <c r="CB102" i="4"/>
  <c r="CA102" i="4"/>
  <c r="CB101" i="4"/>
  <c r="CA101" i="4"/>
  <c r="CB100" i="4"/>
  <c r="CA100" i="4"/>
  <c r="CB99" i="4"/>
  <c r="BQ88" i="4"/>
  <c r="BT88" i="4"/>
  <c r="BW88" i="4"/>
  <c r="S87" i="8"/>
  <c r="BQ109" i="4"/>
  <c r="CE109" i="4" s="1"/>
  <c r="BQ99" i="4"/>
  <c r="BT109" i="4"/>
  <c r="CH109" i="4" s="1"/>
  <c r="BT99" i="4"/>
  <c r="BT98" i="4" s="1"/>
  <c r="BW109" i="4"/>
  <c r="CK109" i="4" s="1"/>
  <c r="BW99" i="4"/>
  <c r="CK99" i="4" s="1"/>
  <c r="BN109" i="4"/>
  <c r="BN105" i="4"/>
  <c r="P98" i="11" s="1"/>
  <c r="BN92" i="4"/>
  <c r="P84" i="11"/>
  <c r="S84" i="11" s="1"/>
  <c r="CA78" i="4"/>
  <c r="F85" i="8"/>
  <c r="F89" i="8" s="1"/>
  <c r="N85" i="8"/>
  <c r="K85" i="8"/>
  <c r="E85" i="8"/>
  <c r="E89" i="8" s="1"/>
  <c r="M89" i="8" s="1"/>
  <c r="G85" i="8"/>
  <c r="S85" i="8" s="1"/>
  <c r="N71" i="8"/>
  <c r="R71" i="8" s="1"/>
  <c r="K71" i="8"/>
  <c r="N65" i="8"/>
  <c r="R65" i="8" s="1"/>
  <c r="K65" i="8"/>
  <c r="H65" i="8"/>
  <c r="F65" i="8"/>
  <c r="E65" i="8"/>
  <c r="D65" i="8"/>
  <c r="G65" i="8"/>
  <c r="S65" i="8" s="1"/>
  <c r="P88" i="8"/>
  <c r="O88" i="8"/>
  <c r="S84" i="8"/>
  <c r="S80" i="8"/>
  <c r="C89" i="11"/>
  <c r="C88" i="11"/>
  <c r="C87" i="11"/>
  <c r="C86" i="11"/>
  <c r="C102" i="11"/>
  <c r="C101" i="11"/>
  <c r="C100" i="11"/>
  <c r="C99" i="11"/>
  <c r="C98" i="11"/>
  <c r="C96" i="11"/>
  <c r="C95" i="11"/>
  <c r="C94" i="11"/>
  <c r="C92" i="11"/>
  <c r="D102" i="11"/>
  <c r="D101" i="11"/>
  <c r="D100" i="11"/>
  <c r="D99" i="11"/>
  <c r="D98" i="11"/>
  <c r="D96" i="11"/>
  <c r="D95" i="11"/>
  <c r="D94" i="11"/>
  <c r="D92" i="11"/>
  <c r="D89" i="11"/>
  <c r="D88" i="11"/>
  <c r="D87" i="11"/>
  <c r="D83" i="11"/>
  <c r="D82" i="11"/>
  <c r="D81" i="11"/>
  <c r="D80" i="11"/>
  <c r="D75" i="11"/>
  <c r="D74" i="11"/>
  <c r="D73" i="11"/>
  <c r="D72" i="11"/>
  <c r="D71" i="11"/>
  <c r="D67" i="11"/>
  <c r="D66" i="11"/>
  <c r="D65" i="11"/>
  <c r="D64" i="11"/>
  <c r="D60" i="11"/>
  <c r="D59" i="11"/>
  <c r="D58" i="11"/>
  <c r="D57" i="11"/>
  <c r="D56" i="11"/>
  <c r="D55" i="11"/>
  <c r="P100" i="11"/>
  <c r="P99" i="11"/>
  <c r="P96" i="11"/>
  <c r="P95" i="11"/>
  <c r="P94" i="11"/>
  <c r="P93" i="11"/>
  <c r="P89" i="11"/>
  <c r="S89" i="11" s="1"/>
  <c r="P87" i="11"/>
  <c r="S87" i="11" s="1"/>
  <c r="P83" i="11"/>
  <c r="S83" i="11" s="1"/>
  <c r="P82" i="11"/>
  <c r="S82" i="11" s="1"/>
  <c r="P81" i="11"/>
  <c r="S81" i="11" s="1"/>
  <c r="P80" i="11"/>
  <c r="S80" i="11" s="1"/>
  <c r="P79" i="11"/>
  <c r="S79" i="11" s="1"/>
  <c r="BN98" i="4"/>
  <c r="P92" i="11" s="1"/>
  <c r="CC98" i="4"/>
  <c r="CQ98" i="4" s="1"/>
  <c r="CF98" i="4"/>
  <c r="CT98" i="4" s="1"/>
  <c r="S111" i="8"/>
  <c r="BQ105" i="4"/>
  <c r="BT105" i="4"/>
  <c r="BW105" i="4"/>
  <c r="BZ105" i="4"/>
  <c r="R98" i="11" s="1"/>
  <c r="CC105" i="4"/>
  <c r="CF105" i="4"/>
  <c r="CT105" i="4" s="1"/>
  <c r="CI105" i="4"/>
  <c r="CW105" i="4" s="1"/>
  <c r="BZ98" i="4"/>
  <c r="R102" i="11"/>
  <c r="R100" i="11"/>
  <c r="R99" i="11"/>
  <c r="R96" i="11"/>
  <c r="R95" i="11"/>
  <c r="R94" i="11"/>
  <c r="S94" i="11" s="1"/>
  <c r="R93" i="11"/>
  <c r="CI98" i="4"/>
  <c r="CW98" i="4" s="1"/>
  <c r="M85" i="8" l="1"/>
  <c r="M71" i="8"/>
  <c r="I65" i="8"/>
  <c r="J65" i="8"/>
  <c r="CE99" i="4"/>
  <c r="BQ98" i="4"/>
  <c r="CE98" i="4" s="1"/>
  <c r="CB109" i="4"/>
  <c r="P102" i="11"/>
  <c r="S102" i="11" s="1"/>
  <c r="BQ108" i="4"/>
  <c r="BT108" i="4"/>
  <c r="S95" i="11"/>
  <c r="BN95" i="4"/>
  <c r="P90" i="11" s="1"/>
  <c r="S90" i="11" s="1"/>
  <c r="P88" i="11"/>
  <c r="S88" i="11" s="1"/>
  <c r="CB98" i="4"/>
  <c r="S99" i="11"/>
  <c r="S96" i="11"/>
  <c r="CC108" i="4"/>
  <c r="CQ105" i="4"/>
  <c r="P111" i="8"/>
  <c r="R111" i="8"/>
  <c r="R89" i="8"/>
  <c r="R85" i="8"/>
  <c r="Q46" i="8"/>
  <c r="CB105" i="4"/>
  <c r="S100" i="11"/>
  <c r="S98" i="11"/>
  <c r="S93" i="11"/>
  <c r="BW98" i="4"/>
  <c r="CA98" i="4" s="1"/>
  <c r="BN108" i="4"/>
  <c r="P101" i="11" s="1"/>
  <c r="CJ98" i="4"/>
  <c r="CM98" i="4"/>
  <c r="CK98" i="4"/>
  <c r="BZ108" i="4"/>
  <c r="CN105" i="4"/>
  <c r="U98" i="11" s="1"/>
  <c r="CG98" i="4"/>
  <c r="CH98" i="4"/>
  <c r="CA99" i="4"/>
  <c r="CD105" i="4"/>
  <c r="CE105" i="4"/>
  <c r="CA109" i="4"/>
  <c r="R92" i="11"/>
  <c r="S92" i="11" s="1"/>
  <c r="CN98" i="4"/>
  <c r="U92" i="11" s="1"/>
  <c r="CI108" i="4"/>
  <c r="CW108" i="4" s="1"/>
  <c r="CM105" i="4"/>
  <c r="CK105" i="4"/>
  <c r="CJ105" i="4"/>
  <c r="CH99" i="4"/>
  <c r="CG99" i="4"/>
  <c r="CJ99" i="4"/>
  <c r="CF108" i="4"/>
  <c r="CT108" i="4" s="1"/>
  <c r="CH105" i="4"/>
  <c r="CG105" i="4"/>
  <c r="CA105" i="4"/>
  <c r="CD98" i="4"/>
  <c r="S89" i="8"/>
  <c r="O111" i="8"/>
  <c r="BW108" i="4"/>
  <c r="F71" i="8"/>
  <c r="P71" i="8" s="1"/>
  <c r="O71" i="8"/>
  <c r="CD108" i="4" l="1"/>
  <c r="CQ108" i="4"/>
  <c r="CE108" i="4"/>
  <c r="CB108" i="4"/>
  <c r="CH108" i="4"/>
  <c r="CG108" i="4"/>
  <c r="R101" i="11"/>
  <c r="S101" i="11" s="1"/>
  <c r="CN108" i="4"/>
  <c r="U101" i="11" s="1"/>
  <c r="CM108" i="4"/>
  <c r="CJ108" i="4"/>
  <c r="CK108" i="4"/>
  <c r="CA108" i="4"/>
  <c r="R110" i="8"/>
  <c r="G82" i="7"/>
  <c r="H82" i="7" s="1"/>
  <c r="G81" i="7"/>
  <c r="H81" i="7" s="1"/>
  <c r="G79" i="7"/>
  <c r="H79" i="7" s="1"/>
  <c r="G78" i="7"/>
  <c r="H78" i="7" s="1"/>
  <c r="G77" i="7"/>
  <c r="H77" i="7" s="1"/>
  <c r="P89" i="8"/>
  <c r="O89" i="8"/>
  <c r="P87" i="8"/>
  <c r="O87" i="8"/>
  <c r="P86" i="8"/>
  <c r="O86" i="8"/>
  <c r="P84" i="8"/>
  <c r="O84" i="8"/>
  <c r="P81" i="8"/>
  <c r="O81" i="8"/>
  <c r="P80" i="8"/>
  <c r="O80" i="8"/>
  <c r="CE93" i="4"/>
  <c r="CD93" i="4"/>
  <c r="CE92" i="4"/>
  <c r="CD92" i="4"/>
  <c r="CE91" i="4"/>
  <c r="CD91" i="4"/>
  <c r="CD86" i="4"/>
  <c r="CD85" i="4"/>
  <c r="CD84" i="4"/>
  <c r="CD83" i="4"/>
  <c r="CB93" i="4"/>
  <c r="CA93" i="4"/>
  <c r="CB92" i="4"/>
  <c r="CA92" i="4"/>
  <c r="CB91" i="4"/>
  <c r="CA91" i="4"/>
  <c r="D54" i="11"/>
  <c r="C54" i="11"/>
  <c r="D2" i="11"/>
  <c r="C2" i="11"/>
  <c r="C2" i="27"/>
  <c r="B2" i="27"/>
  <c r="C44" i="7"/>
  <c r="C26" i="7"/>
  <c r="C3" i="7"/>
  <c r="C46" i="26"/>
  <c r="C26" i="26"/>
  <c r="C3" i="26"/>
  <c r="G21" i="7"/>
  <c r="H21" i="7" s="1"/>
  <c r="G15" i="7"/>
  <c r="G13" i="7"/>
  <c r="G4" i="7"/>
  <c r="D71" i="8"/>
  <c r="D69" i="7"/>
  <c r="F69" i="7" s="1"/>
  <c r="D63" i="7"/>
  <c r="F63" i="7" s="1"/>
  <c r="BZ87" i="4"/>
  <c r="CN87" i="4" s="1"/>
  <c r="U84" i="11" s="1"/>
  <c r="CI87" i="4"/>
  <c r="CW87" i="4" s="1"/>
  <c r="CF87" i="4"/>
  <c r="CT87" i="4" s="1"/>
  <c r="CC87" i="4"/>
  <c r="CC82" i="4"/>
  <c r="CD78" i="4"/>
  <c r="BZ79" i="4"/>
  <c r="CN79" i="4" s="1"/>
  <c r="U76" i="11" s="1"/>
  <c r="CF95" i="4"/>
  <c r="CT95" i="4" s="1"/>
  <c r="BZ95" i="4"/>
  <c r="CD95" i="4" s="1"/>
  <c r="BW95" i="4"/>
  <c r="BT95" i="4"/>
  <c r="BQ95" i="4"/>
  <c r="CE95" i="4" s="1"/>
  <c r="CI95" i="4"/>
  <c r="CW95" i="4" s="1"/>
  <c r="J19" i="18" l="1"/>
  <c r="H15" i="7"/>
  <c r="H13" i="7"/>
  <c r="H4" i="7"/>
  <c r="CM95" i="4"/>
  <c r="CK95" i="4"/>
  <c r="CJ95" i="4"/>
  <c r="CJ87" i="4"/>
  <c r="CM87" i="4"/>
  <c r="CK87" i="4"/>
  <c r="CB95" i="4"/>
  <c r="CN95" i="4"/>
  <c r="U90" i="11" s="1"/>
  <c r="CH95" i="4"/>
  <c r="CG95" i="4"/>
  <c r="CH87" i="4"/>
  <c r="CG87" i="4"/>
  <c r="G6" i="26"/>
  <c r="G6" i="7" s="1"/>
  <c r="G5" i="7"/>
  <c r="G28" i="7"/>
  <c r="G34" i="7"/>
  <c r="G35" i="7"/>
  <c r="G29" i="7"/>
  <c r="G10" i="26"/>
  <c r="G10" i="7" s="1"/>
  <c r="G9" i="7"/>
  <c r="G31" i="7"/>
  <c r="G36" i="7"/>
  <c r="G32" i="7"/>
  <c r="G16" i="7"/>
  <c r="H85" i="8"/>
  <c r="D89" i="8"/>
  <c r="G14" i="7"/>
  <c r="H71" i="8"/>
  <c r="O110" i="8"/>
  <c r="P110" i="8"/>
  <c r="G76" i="7"/>
  <c r="H76" i="7" s="1"/>
  <c r="CA95" i="4"/>
  <c r="CD87" i="4"/>
  <c r="D20" i="26"/>
  <c r="P85" i="8"/>
  <c r="O85" i="8"/>
  <c r="F20" i="26"/>
  <c r="D6" i="26"/>
  <c r="F6" i="26"/>
  <c r="E20" i="26"/>
  <c r="E10" i="26"/>
  <c r="F10" i="26"/>
  <c r="D10" i="26"/>
  <c r="E6" i="26"/>
  <c r="F67" i="26"/>
  <c r="D73" i="26"/>
  <c r="E73" i="26"/>
  <c r="E67" i="26"/>
  <c r="D67" i="26"/>
  <c r="BW90" i="4"/>
  <c r="BW96" i="4" s="1"/>
  <c r="I85" i="8" l="1"/>
  <c r="J85" i="8"/>
  <c r="L85" i="8"/>
  <c r="D91" i="26"/>
  <c r="J89" i="8"/>
  <c r="J71" i="8"/>
  <c r="L71" i="8"/>
  <c r="H5" i="7"/>
  <c r="H9" i="7"/>
  <c r="H16" i="7"/>
  <c r="H14" i="7"/>
  <c r="H31" i="7"/>
  <c r="H32" i="7"/>
  <c r="H34" i="7"/>
  <c r="H35" i="7"/>
  <c r="H28" i="7"/>
  <c r="H36" i="7"/>
  <c r="H29" i="7"/>
  <c r="CI90" i="4"/>
  <c r="CW90" i="4" s="1"/>
  <c r="CF90" i="4"/>
  <c r="CT90" i="4" s="1"/>
  <c r="CC90" i="4"/>
  <c r="CC96" i="4" s="1"/>
  <c r="BZ90" i="4"/>
  <c r="BT90" i="4"/>
  <c r="BT96" i="4" s="1"/>
  <c r="BQ90" i="4"/>
  <c r="BQ96" i="4" s="1"/>
  <c r="BN90" i="4"/>
  <c r="BK90" i="4"/>
  <c r="BH90" i="4"/>
  <c r="BE90" i="4"/>
  <c r="BB90" i="4"/>
  <c r="AY90" i="4"/>
  <c r="AV90" i="4"/>
  <c r="AS90" i="4"/>
  <c r="AP90" i="4"/>
  <c r="AM90" i="4"/>
  <c r="AJ90" i="4"/>
  <c r="AG90" i="4"/>
  <c r="AD90" i="4"/>
  <c r="AA90" i="4"/>
  <c r="X90" i="4"/>
  <c r="U90" i="4"/>
  <c r="R90" i="4"/>
  <c r="O90" i="4"/>
  <c r="L90" i="4"/>
  <c r="I90" i="4"/>
  <c r="H90" i="4"/>
  <c r="G90" i="4"/>
  <c r="F90" i="4"/>
  <c r="E90" i="4"/>
  <c r="D90" i="4"/>
  <c r="D86" i="11" s="1"/>
  <c r="CI82" i="4"/>
  <c r="CW82" i="4" s="1"/>
  <c r="CF82" i="4"/>
  <c r="CT82" i="4" s="1"/>
  <c r="CC88" i="4"/>
  <c r="BZ82" i="4"/>
  <c r="BM82" i="4"/>
  <c r="BL82" i="4"/>
  <c r="BK82" i="4"/>
  <c r="BJ82" i="4"/>
  <c r="BI82" i="4"/>
  <c r="BH82" i="4"/>
  <c r="BG82" i="4"/>
  <c r="BF82" i="4"/>
  <c r="BE82" i="4"/>
  <c r="BD82" i="4"/>
  <c r="BC82" i="4"/>
  <c r="BB82" i="4"/>
  <c r="BA82" i="4"/>
  <c r="AZ82" i="4"/>
  <c r="AY82" i="4"/>
  <c r="AX82" i="4"/>
  <c r="AW82" i="4"/>
  <c r="AV82" i="4"/>
  <c r="AU82" i="4"/>
  <c r="AT82" i="4"/>
  <c r="AS82" i="4"/>
  <c r="AR82" i="4"/>
  <c r="AQ82" i="4"/>
  <c r="AP82" i="4"/>
  <c r="AO82" i="4"/>
  <c r="AN82" i="4"/>
  <c r="AM82" i="4"/>
  <c r="AL82" i="4"/>
  <c r="AK82" i="4"/>
  <c r="AJ82" i="4"/>
  <c r="AI82" i="4"/>
  <c r="AH82" i="4"/>
  <c r="AG82" i="4"/>
  <c r="AF82" i="4"/>
  <c r="AE82" i="4"/>
  <c r="AD82" i="4"/>
  <c r="AC82" i="4"/>
  <c r="AB82" i="4"/>
  <c r="AA82" i="4"/>
  <c r="Z82" i="4"/>
  <c r="Y82" i="4"/>
  <c r="X82" i="4"/>
  <c r="W82" i="4"/>
  <c r="V82" i="4"/>
  <c r="U82" i="4"/>
  <c r="T82" i="4"/>
  <c r="S82" i="4"/>
  <c r="R82" i="4"/>
  <c r="Q82" i="4"/>
  <c r="P82" i="4"/>
  <c r="O82" i="4"/>
  <c r="N82" i="4"/>
  <c r="M82" i="4"/>
  <c r="L82" i="4"/>
  <c r="K82" i="4"/>
  <c r="J82" i="4"/>
  <c r="I82" i="4"/>
  <c r="H82" i="4"/>
  <c r="G82" i="4"/>
  <c r="F82" i="4"/>
  <c r="E82" i="4"/>
  <c r="D82" i="4"/>
  <c r="D79" i="11" s="1"/>
  <c r="C82" i="4"/>
  <c r="S75" i="8"/>
  <c r="S69" i="8"/>
  <c r="S67" i="8"/>
  <c r="S66" i="8"/>
  <c r="S74" i="8"/>
  <c r="P78" i="8"/>
  <c r="O78" i="8"/>
  <c r="P76" i="8"/>
  <c r="O76" i="8"/>
  <c r="P75" i="8"/>
  <c r="O75" i="8"/>
  <c r="P74" i="8"/>
  <c r="O74" i="8"/>
  <c r="P73" i="8"/>
  <c r="O73" i="8"/>
  <c r="P72" i="8"/>
  <c r="O72" i="8"/>
  <c r="P69" i="8"/>
  <c r="O69" i="8"/>
  <c r="P68" i="8"/>
  <c r="O68" i="8"/>
  <c r="P67" i="8"/>
  <c r="O67" i="8"/>
  <c r="P66" i="8"/>
  <c r="O66" i="8"/>
  <c r="E91" i="26" l="1"/>
  <c r="D87" i="26"/>
  <c r="S76" i="8"/>
  <c r="S68" i="8"/>
  <c r="S78" i="8"/>
  <c r="S72" i="8"/>
  <c r="CF88" i="4"/>
  <c r="CH82" i="4"/>
  <c r="CG82" i="4"/>
  <c r="CI88" i="4"/>
  <c r="CM82" i="4"/>
  <c r="CK82" i="4"/>
  <c r="CJ82" i="4"/>
  <c r="BZ96" i="4"/>
  <c r="CN90" i="4"/>
  <c r="U86" i="11" s="1"/>
  <c r="CF96" i="4"/>
  <c r="CH90" i="4"/>
  <c r="CG90" i="4"/>
  <c r="P86" i="11"/>
  <c r="S86" i="11" s="1"/>
  <c r="BN96" i="4"/>
  <c r="CI96" i="4"/>
  <c r="CM90" i="4"/>
  <c r="CK90" i="4"/>
  <c r="CJ90" i="4"/>
  <c r="BZ88" i="4"/>
  <c r="CN82" i="4"/>
  <c r="U79" i="11" s="1"/>
  <c r="L65" i="8"/>
  <c r="M65" i="8"/>
  <c r="O65" i="8"/>
  <c r="P65" i="8"/>
  <c r="E87" i="26" l="1"/>
  <c r="F91" i="26"/>
  <c r="CI79" i="4"/>
  <c r="CW79" i="4" s="1"/>
  <c r="CI74" i="4"/>
  <c r="CW74" i="4" s="1"/>
  <c r="CI71" i="4"/>
  <c r="CW71" i="4" s="1"/>
  <c r="CI67" i="4"/>
  <c r="CW67" i="4" s="1"/>
  <c r="CI64" i="4"/>
  <c r="CW64" i="4" s="1"/>
  <c r="CI58" i="4"/>
  <c r="CW58" i="4" s="1"/>
  <c r="CL11" i="10"/>
  <c r="F87" i="26" l="1"/>
  <c r="G91" i="26"/>
  <c r="CM64" i="4"/>
  <c r="CM71" i="4"/>
  <c r="CM58" i="4"/>
  <c r="CM67" i="4"/>
  <c r="CM74" i="4"/>
  <c r="CM79" i="4"/>
  <c r="CI80" i="4"/>
  <c r="CI72" i="4"/>
  <c r="CI65" i="4"/>
  <c r="CH36" i="10"/>
  <c r="CV36" i="10" s="1"/>
  <c r="CE36" i="10"/>
  <c r="CS36" i="10" s="1"/>
  <c r="F26" i="26"/>
  <c r="F46" i="26" s="1"/>
  <c r="CI47" i="4"/>
  <c r="CW47" i="4" s="1"/>
  <c r="CI39" i="4"/>
  <c r="CW39" i="4" s="1"/>
  <c r="CI28" i="4"/>
  <c r="CW28" i="4" s="1"/>
  <c r="CI15" i="4"/>
  <c r="CW15" i="4" s="1"/>
  <c r="CI4" i="4"/>
  <c r="CW4" i="4" s="1"/>
  <c r="CI11" i="10"/>
  <c r="G87" i="26" l="1"/>
  <c r="G80" i="7" s="1"/>
  <c r="H80" i="7" s="1"/>
  <c r="G84" i="7"/>
  <c r="H84" i="7" s="1"/>
  <c r="CM15" i="4"/>
  <c r="CM4" i="4"/>
  <c r="CM28" i="4"/>
  <c r="CM39" i="4"/>
  <c r="CI46" i="4"/>
  <c r="CW46" i="4" s="1"/>
  <c r="CM47" i="4"/>
  <c r="CI27" i="4"/>
  <c r="CW27" i="4" s="1"/>
  <c r="CI3" i="4"/>
  <c r="CW3" i="4" s="1"/>
  <c r="CI54" i="4" l="1"/>
  <c r="CM27" i="4"/>
  <c r="CM3" i="4"/>
  <c r="CM46" i="4"/>
  <c r="CW54" i="4" l="1"/>
  <c r="CI55" i="4"/>
  <c r="CM54" i="4"/>
  <c r="N26" i="8"/>
  <c r="R11" i="5"/>
  <c r="O36" i="5"/>
  <c r="N11" i="5"/>
  <c r="L11" i="5"/>
  <c r="J11" i="5"/>
  <c r="M36" i="5"/>
  <c r="I36" i="5"/>
  <c r="G36" i="5"/>
  <c r="E11" i="5"/>
  <c r="F11" i="5" s="1"/>
  <c r="G11" i="5"/>
  <c r="D11" i="5"/>
  <c r="D36" i="5"/>
  <c r="C36" i="5"/>
  <c r="B36" i="5"/>
  <c r="C34" i="5"/>
  <c r="B34" i="5"/>
  <c r="C33" i="5"/>
  <c r="B33" i="5"/>
  <c r="C32" i="5"/>
  <c r="B32" i="5"/>
  <c r="C31" i="5"/>
  <c r="B31" i="5"/>
  <c r="C30" i="5"/>
  <c r="B30" i="5"/>
  <c r="C29" i="5"/>
  <c r="B29" i="5"/>
  <c r="C28" i="5"/>
  <c r="B28" i="5"/>
  <c r="C27" i="5"/>
  <c r="B27" i="5"/>
  <c r="C26" i="5"/>
  <c r="B26" i="5"/>
  <c r="C25" i="5"/>
  <c r="B25" i="5"/>
  <c r="C24" i="5"/>
  <c r="B24" i="5"/>
  <c r="C23" i="5"/>
  <c r="B23" i="5"/>
  <c r="C22" i="5"/>
  <c r="B22" i="5"/>
  <c r="C21" i="5"/>
  <c r="B21" i="5"/>
  <c r="C20" i="5"/>
  <c r="B20" i="5"/>
  <c r="C19" i="5"/>
  <c r="B19" i="5"/>
  <c r="C18" i="5"/>
  <c r="B18" i="5"/>
  <c r="C17" i="5"/>
  <c r="B17" i="5"/>
  <c r="C16" i="5"/>
  <c r="B16" i="5"/>
  <c r="C15" i="5"/>
  <c r="B15" i="5"/>
  <c r="C14" i="5"/>
  <c r="B14" i="5"/>
  <c r="C13" i="5"/>
  <c r="B13" i="5"/>
  <c r="C12" i="5"/>
  <c r="B12" i="5"/>
  <c r="C11" i="5"/>
  <c r="B11" i="5"/>
  <c r="C10" i="5"/>
  <c r="B10" i="5"/>
  <c r="C9" i="5"/>
  <c r="B9" i="5"/>
  <c r="C8" i="5"/>
  <c r="B8" i="5"/>
  <c r="C7" i="5"/>
  <c r="B7" i="5"/>
  <c r="C6" i="5"/>
  <c r="B6" i="5"/>
  <c r="C5" i="5"/>
  <c r="B5" i="5"/>
  <c r="C4" i="5"/>
  <c r="B4" i="5"/>
  <c r="C36" i="27"/>
  <c r="B36" i="27"/>
  <c r="S36" i="27"/>
  <c r="R36" i="27"/>
  <c r="Q36" i="27"/>
  <c r="P36" i="27"/>
  <c r="O36" i="27"/>
  <c r="N36" i="27"/>
  <c r="M36" i="27"/>
  <c r="L36" i="27"/>
  <c r="K36" i="27"/>
  <c r="J36" i="27"/>
  <c r="I36" i="27"/>
  <c r="H36" i="27"/>
  <c r="G36" i="27"/>
  <c r="F36" i="27"/>
  <c r="E36" i="27"/>
  <c r="D36" i="27"/>
  <c r="AF34" i="27"/>
  <c r="AB34" i="27"/>
  <c r="AC34" i="27" s="1"/>
  <c r="AD34" i="27" s="1"/>
  <c r="AE34" i="27" s="1"/>
  <c r="X34" i="27"/>
  <c r="Y34" i="27" s="1"/>
  <c r="Z34" i="27" s="1"/>
  <c r="AA34" i="27" s="1"/>
  <c r="T34" i="27"/>
  <c r="U34" i="27" s="1"/>
  <c r="V34" i="27" s="1"/>
  <c r="W34" i="27" s="1"/>
  <c r="AF33" i="27"/>
  <c r="AB33" i="27"/>
  <c r="AC33" i="27" s="1"/>
  <c r="AD33" i="27" s="1"/>
  <c r="AE33" i="27" s="1"/>
  <c r="X33" i="27"/>
  <c r="Y33" i="27" s="1"/>
  <c r="Z33" i="27" s="1"/>
  <c r="AA33" i="27" s="1"/>
  <c r="T33" i="27"/>
  <c r="U33" i="27" s="1"/>
  <c r="V33" i="27" s="1"/>
  <c r="W33" i="27" s="1"/>
  <c r="AF32" i="27"/>
  <c r="AB32" i="27"/>
  <c r="AC32" i="27" s="1"/>
  <c r="AD32" i="27" s="1"/>
  <c r="AE32" i="27" s="1"/>
  <c r="X32" i="27"/>
  <c r="Y32" i="27" s="1"/>
  <c r="Z32" i="27" s="1"/>
  <c r="AA32" i="27" s="1"/>
  <c r="T32" i="27"/>
  <c r="U32" i="27" s="1"/>
  <c r="V32" i="27" s="1"/>
  <c r="W32" i="27" s="1"/>
  <c r="AF31" i="27"/>
  <c r="AB31" i="27"/>
  <c r="AC31" i="27" s="1"/>
  <c r="AD31" i="27" s="1"/>
  <c r="AE31" i="27" s="1"/>
  <c r="X31" i="27"/>
  <c r="Y31" i="27" s="1"/>
  <c r="Z31" i="27" s="1"/>
  <c r="AA31" i="27" s="1"/>
  <c r="T31" i="27"/>
  <c r="U31" i="27" s="1"/>
  <c r="V31" i="27" s="1"/>
  <c r="W31" i="27" s="1"/>
  <c r="AF30" i="27"/>
  <c r="AB30" i="27"/>
  <c r="AC30" i="27" s="1"/>
  <c r="AD30" i="27" s="1"/>
  <c r="AE30" i="27" s="1"/>
  <c r="X30" i="27"/>
  <c r="Y30" i="27" s="1"/>
  <c r="Z30" i="27" s="1"/>
  <c r="AA30" i="27" s="1"/>
  <c r="T30" i="27"/>
  <c r="U30" i="27" s="1"/>
  <c r="V30" i="27" s="1"/>
  <c r="W30" i="27" s="1"/>
  <c r="AB35" i="27"/>
  <c r="AC35" i="27" s="1"/>
  <c r="AD35" i="27" s="1"/>
  <c r="AE35" i="27" s="1"/>
  <c r="X35" i="27"/>
  <c r="Y35" i="27" s="1"/>
  <c r="Z35" i="27" s="1"/>
  <c r="AA35" i="27" s="1"/>
  <c r="T35" i="27"/>
  <c r="U35" i="27" s="1"/>
  <c r="V35" i="27" s="1"/>
  <c r="W35" i="27" s="1"/>
  <c r="AF29" i="27"/>
  <c r="AB29" i="27"/>
  <c r="AC29" i="27" s="1"/>
  <c r="AD29" i="27" s="1"/>
  <c r="AE29" i="27" s="1"/>
  <c r="X29" i="27"/>
  <c r="Y29" i="27" s="1"/>
  <c r="Z29" i="27" s="1"/>
  <c r="AA29" i="27" s="1"/>
  <c r="T29" i="27"/>
  <c r="U29" i="27" s="1"/>
  <c r="V29" i="27" s="1"/>
  <c r="W29" i="27" s="1"/>
  <c r="AF28" i="27"/>
  <c r="AB28" i="27"/>
  <c r="AC28" i="27" s="1"/>
  <c r="AD28" i="27" s="1"/>
  <c r="AE28" i="27" s="1"/>
  <c r="X28" i="27"/>
  <c r="Y28" i="27" s="1"/>
  <c r="Z28" i="27" s="1"/>
  <c r="AA28" i="27" s="1"/>
  <c r="T28" i="27"/>
  <c r="U28" i="27" s="1"/>
  <c r="V28" i="27" s="1"/>
  <c r="W28" i="27" s="1"/>
  <c r="AF27" i="27"/>
  <c r="AB27" i="27"/>
  <c r="AC27" i="27" s="1"/>
  <c r="AD27" i="27" s="1"/>
  <c r="AE27" i="27" s="1"/>
  <c r="X27" i="27"/>
  <c r="Y27" i="27" s="1"/>
  <c r="Z27" i="27" s="1"/>
  <c r="AA27" i="27" s="1"/>
  <c r="T27" i="27"/>
  <c r="U27" i="27" s="1"/>
  <c r="V27" i="27" s="1"/>
  <c r="W27" i="27" s="1"/>
  <c r="AF26" i="27"/>
  <c r="AB26" i="27"/>
  <c r="AC26" i="27" s="1"/>
  <c r="AD26" i="27" s="1"/>
  <c r="AE26" i="27" s="1"/>
  <c r="X26" i="27"/>
  <c r="Y26" i="27" s="1"/>
  <c r="Z26" i="27" s="1"/>
  <c r="AA26" i="27" s="1"/>
  <c r="T26" i="27"/>
  <c r="U26" i="27" s="1"/>
  <c r="V26" i="27" s="1"/>
  <c r="W26" i="27" s="1"/>
  <c r="AF25" i="27"/>
  <c r="AB25" i="27"/>
  <c r="AC25" i="27" s="1"/>
  <c r="AD25" i="27" s="1"/>
  <c r="AE25" i="27" s="1"/>
  <c r="X25" i="27"/>
  <c r="Y25" i="27" s="1"/>
  <c r="Z25" i="27" s="1"/>
  <c r="AA25" i="27" s="1"/>
  <c r="T25" i="27"/>
  <c r="U25" i="27" s="1"/>
  <c r="V25" i="27" s="1"/>
  <c r="W25" i="27" s="1"/>
  <c r="AF24" i="27"/>
  <c r="AB24" i="27"/>
  <c r="AC24" i="27" s="1"/>
  <c r="AD24" i="27" s="1"/>
  <c r="AE24" i="27" s="1"/>
  <c r="X24" i="27"/>
  <c r="Y24" i="27" s="1"/>
  <c r="Z24" i="27" s="1"/>
  <c r="AA24" i="27" s="1"/>
  <c r="T24" i="27"/>
  <c r="U24" i="27" s="1"/>
  <c r="V24" i="27" s="1"/>
  <c r="W24" i="27" s="1"/>
  <c r="AF23" i="27"/>
  <c r="AB23" i="27"/>
  <c r="AC23" i="27" s="1"/>
  <c r="AD23" i="27" s="1"/>
  <c r="AE23" i="27" s="1"/>
  <c r="X23" i="27"/>
  <c r="Y23" i="27" s="1"/>
  <c r="Z23" i="27" s="1"/>
  <c r="AA23" i="27" s="1"/>
  <c r="T23" i="27"/>
  <c r="U23" i="27" s="1"/>
  <c r="V23" i="27" s="1"/>
  <c r="W23" i="27" s="1"/>
  <c r="AF22" i="27"/>
  <c r="AB22" i="27"/>
  <c r="AC22" i="27" s="1"/>
  <c r="AD22" i="27" s="1"/>
  <c r="AE22" i="27" s="1"/>
  <c r="X22" i="27"/>
  <c r="Y22" i="27" s="1"/>
  <c r="Z22" i="27" s="1"/>
  <c r="AA22" i="27" s="1"/>
  <c r="T22" i="27"/>
  <c r="U22" i="27" s="1"/>
  <c r="V22" i="27" s="1"/>
  <c r="W22" i="27" s="1"/>
  <c r="AF21" i="27"/>
  <c r="AB21" i="27"/>
  <c r="AC21" i="27" s="1"/>
  <c r="AD21" i="27" s="1"/>
  <c r="AE21" i="27" s="1"/>
  <c r="X21" i="27"/>
  <c r="Y21" i="27" s="1"/>
  <c r="Z21" i="27" s="1"/>
  <c r="AA21" i="27" s="1"/>
  <c r="T21" i="27"/>
  <c r="U21" i="27" s="1"/>
  <c r="V21" i="27" s="1"/>
  <c r="W21" i="27" s="1"/>
  <c r="AF20" i="27"/>
  <c r="AB20" i="27"/>
  <c r="AC20" i="27" s="1"/>
  <c r="AD20" i="27" s="1"/>
  <c r="AE20" i="27" s="1"/>
  <c r="X20" i="27"/>
  <c r="Y20" i="27" s="1"/>
  <c r="Z20" i="27" s="1"/>
  <c r="AA20" i="27" s="1"/>
  <c r="T20" i="27"/>
  <c r="U20" i="27" s="1"/>
  <c r="V20" i="27" s="1"/>
  <c r="W20" i="27" s="1"/>
  <c r="AF19" i="27"/>
  <c r="AB19" i="27"/>
  <c r="AC19" i="27" s="1"/>
  <c r="AD19" i="27" s="1"/>
  <c r="AE19" i="27" s="1"/>
  <c r="X19" i="27"/>
  <c r="Y19" i="27" s="1"/>
  <c r="Z19" i="27" s="1"/>
  <c r="AA19" i="27" s="1"/>
  <c r="T19" i="27"/>
  <c r="U19" i="27" s="1"/>
  <c r="V19" i="27" s="1"/>
  <c r="W19" i="27" s="1"/>
  <c r="AF18" i="27"/>
  <c r="AB18" i="27"/>
  <c r="AC18" i="27" s="1"/>
  <c r="AD18" i="27" s="1"/>
  <c r="AE18" i="27" s="1"/>
  <c r="X18" i="27"/>
  <c r="Y18" i="27" s="1"/>
  <c r="Z18" i="27" s="1"/>
  <c r="AA18" i="27" s="1"/>
  <c r="T18" i="27"/>
  <c r="U18" i="27" s="1"/>
  <c r="V18" i="27" s="1"/>
  <c r="W18" i="27" s="1"/>
  <c r="AF17" i="27"/>
  <c r="AB17" i="27"/>
  <c r="AC17" i="27" s="1"/>
  <c r="AD17" i="27" s="1"/>
  <c r="AE17" i="27" s="1"/>
  <c r="X17" i="27"/>
  <c r="Y17" i="27" s="1"/>
  <c r="Z17" i="27" s="1"/>
  <c r="AA17" i="27" s="1"/>
  <c r="T17" i="27"/>
  <c r="U17" i="27" s="1"/>
  <c r="V17" i="27" s="1"/>
  <c r="W17" i="27" s="1"/>
  <c r="AF16" i="27"/>
  <c r="AB16" i="27"/>
  <c r="AC16" i="27" s="1"/>
  <c r="AD16" i="27" s="1"/>
  <c r="AE16" i="27" s="1"/>
  <c r="X16" i="27"/>
  <c r="Y16" i="27" s="1"/>
  <c r="Z16" i="27" s="1"/>
  <c r="AA16" i="27" s="1"/>
  <c r="T16" i="27"/>
  <c r="U16" i="27" s="1"/>
  <c r="V16" i="27" s="1"/>
  <c r="W16" i="27" s="1"/>
  <c r="AF15" i="27"/>
  <c r="AB15" i="27"/>
  <c r="AC15" i="27" s="1"/>
  <c r="AD15" i="27" s="1"/>
  <c r="AE15" i="27" s="1"/>
  <c r="X15" i="27"/>
  <c r="Y15" i="27" s="1"/>
  <c r="Z15" i="27" s="1"/>
  <c r="AA15" i="27" s="1"/>
  <c r="T15" i="27"/>
  <c r="U15" i="27" s="1"/>
  <c r="V15" i="27" s="1"/>
  <c r="W15" i="27" s="1"/>
  <c r="AF14" i="27"/>
  <c r="AB14" i="27"/>
  <c r="AC14" i="27" s="1"/>
  <c r="AD14" i="27" s="1"/>
  <c r="AE14" i="27" s="1"/>
  <c r="X14" i="27"/>
  <c r="Y14" i="27" s="1"/>
  <c r="Z14" i="27" s="1"/>
  <c r="AA14" i="27" s="1"/>
  <c r="T14" i="27"/>
  <c r="U14" i="27" s="1"/>
  <c r="V14" i="27" s="1"/>
  <c r="W14" i="27" s="1"/>
  <c r="AF13" i="27"/>
  <c r="AB13" i="27"/>
  <c r="AC13" i="27" s="1"/>
  <c r="AD13" i="27" s="1"/>
  <c r="AE13" i="27" s="1"/>
  <c r="X13" i="27"/>
  <c r="Y13" i="27" s="1"/>
  <c r="Z13" i="27" s="1"/>
  <c r="AA13" i="27" s="1"/>
  <c r="T13" i="27"/>
  <c r="U13" i="27" s="1"/>
  <c r="V13" i="27" s="1"/>
  <c r="W13" i="27" s="1"/>
  <c r="AF12" i="27"/>
  <c r="AB12" i="27"/>
  <c r="AC12" i="27" s="1"/>
  <c r="AD12" i="27" s="1"/>
  <c r="AE12" i="27" s="1"/>
  <c r="X12" i="27"/>
  <c r="Y12" i="27" s="1"/>
  <c r="Z12" i="27" s="1"/>
  <c r="AA12" i="27" s="1"/>
  <c r="T12" i="27"/>
  <c r="U12" i="27" s="1"/>
  <c r="V12" i="27" s="1"/>
  <c r="W12" i="27" s="1"/>
  <c r="AF9" i="27"/>
  <c r="AG9" i="27" s="1"/>
  <c r="AH9" i="27" s="1"/>
  <c r="AI9" i="27" s="1"/>
  <c r="S9" i="5" s="1"/>
  <c r="AB9" i="27"/>
  <c r="AC9" i="27" s="1"/>
  <c r="AD9" i="27" s="1"/>
  <c r="AE9" i="27" s="1"/>
  <c r="X9" i="27"/>
  <c r="Y9" i="27" s="1"/>
  <c r="Z9" i="27" s="1"/>
  <c r="AA9" i="27" s="1"/>
  <c r="T9" i="27"/>
  <c r="U9" i="27" s="1"/>
  <c r="V9" i="27" s="1"/>
  <c r="W9" i="27" s="1"/>
  <c r="AF10" i="27"/>
  <c r="AG10" i="27" s="1"/>
  <c r="AH10" i="27" s="1"/>
  <c r="AI10" i="27" s="1"/>
  <c r="S10" i="5" s="1"/>
  <c r="AB10" i="27"/>
  <c r="AC10" i="27" s="1"/>
  <c r="AD10" i="27" s="1"/>
  <c r="AE10" i="27" s="1"/>
  <c r="X10" i="27"/>
  <c r="Y10" i="27" s="1"/>
  <c r="Z10" i="27" s="1"/>
  <c r="AA10" i="27" s="1"/>
  <c r="T10" i="27"/>
  <c r="U10" i="27" s="1"/>
  <c r="V10" i="27" s="1"/>
  <c r="W10" i="27" s="1"/>
  <c r="AF8" i="27"/>
  <c r="AG8" i="27" s="1"/>
  <c r="AH8" i="27" s="1"/>
  <c r="AI8" i="27" s="1"/>
  <c r="S8" i="5" s="1"/>
  <c r="AB8" i="27"/>
  <c r="AC8" i="27" s="1"/>
  <c r="AD8" i="27" s="1"/>
  <c r="AE8" i="27" s="1"/>
  <c r="X8" i="27"/>
  <c r="Y8" i="27" s="1"/>
  <c r="Z8" i="27" s="1"/>
  <c r="AA8" i="27" s="1"/>
  <c r="T8" i="27"/>
  <c r="U8" i="27" s="1"/>
  <c r="V8" i="27" s="1"/>
  <c r="W8" i="27" s="1"/>
  <c r="AF7" i="27"/>
  <c r="AG7" i="27" s="1"/>
  <c r="AH7" i="27" s="1"/>
  <c r="AI7" i="27" s="1"/>
  <c r="S7" i="5" s="1"/>
  <c r="AB7" i="27"/>
  <c r="AC7" i="27" s="1"/>
  <c r="AD7" i="27" s="1"/>
  <c r="AE7" i="27" s="1"/>
  <c r="X7" i="27"/>
  <c r="Y7" i="27" s="1"/>
  <c r="Z7" i="27" s="1"/>
  <c r="AA7" i="27" s="1"/>
  <c r="T7" i="27"/>
  <c r="U7" i="27" s="1"/>
  <c r="V7" i="27" s="1"/>
  <c r="W7" i="27" s="1"/>
  <c r="AF6" i="27"/>
  <c r="AG6" i="27" s="1"/>
  <c r="AH6" i="27" s="1"/>
  <c r="AI6" i="27" s="1"/>
  <c r="S6" i="5" s="1"/>
  <c r="AB6" i="27"/>
  <c r="AC6" i="27" s="1"/>
  <c r="AD6" i="27" s="1"/>
  <c r="AE6" i="27" s="1"/>
  <c r="X6" i="27"/>
  <c r="Y6" i="27" s="1"/>
  <c r="Z6" i="27" s="1"/>
  <c r="AA6" i="27" s="1"/>
  <c r="T6" i="27"/>
  <c r="U6" i="27" s="1"/>
  <c r="V6" i="27" s="1"/>
  <c r="W6" i="27" s="1"/>
  <c r="AF5" i="27"/>
  <c r="AG5" i="27" s="1"/>
  <c r="AH5" i="27" s="1"/>
  <c r="AI5" i="27" s="1"/>
  <c r="S5" i="5" s="1"/>
  <c r="AB5" i="27"/>
  <c r="AC5" i="27" s="1"/>
  <c r="AD5" i="27" s="1"/>
  <c r="AE5" i="27" s="1"/>
  <c r="X5" i="27"/>
  <c r="Y5" i="27" s="1"/>
  <c r="Z5" i="27" s="1"/>
  <c r="AA5" i="27" s="1"/>
  <c r="T5" i="27"/>
  <c r="U5" i="27" s="1"/>
  <c r="V5" i="27" s="1"/>
  <c r="W5" i="27" s="1"/>
  <c r="AF4" i="27"/>
  <c r="AG4" i="27" s="1"/>
  <c r="AH4" i="27" s="1"/>
  <c r="AI4" i="27" s="1"/>
  <c r="S4" i="5" s="1"/>
  <c r="AB4" i="27"/>
  <c r="AC4" i="27" s="1"/>
  <c r="AD4" i="27" s="1"/>
  <c r="AE4" i="27" s="1"/>
  <c r="X4" i="27"/>
  <c r="Y4" i="27" s="1"/>
  <c r="Z4" i="27" s="1"/>
  <c r="AA4" i="27" s="1"/>
  <c r="T4" i="27"/>
  <c r="U4" i="27" s="1"/>
  <c r="V4" i="27" s="1"/>
  <c r="W4" i="27" s="1"/>
  <c r="C34" i="27"/>
  <c r="B34" i="27"/>
  <c r="C33" i="27"/>
  <c r="B33" i="27"/>
  <c r="C32" i="27"/>
  <c r="B32" i="27"/>
  <c r="C31" i="27"/>
  <c r="B31" i="27"/>
  <c r="C30" i="27"/>
  <c r="B30" i="27"/>
  <c r="C29" i="27"/>
  <c r="B29" i="27"/>
  <c r="C28" i="27"/>
  <c r="B28" i="27"/>
  <c r="C27" i="27"/>
  <c r="B27" i="27"/>
  <c r="C26" i="27"/>
  <c r="B26" i="27"/>
  <c r="C25" i="27"/>
  <c r="B25" i="27"/>
  <c r="C24" i="27"/>
  <c r="B24" i="27"/>
  <c r="C23" i="27"/>
  <c r="B23" i="27"/>
  <c r="C22" i="27"/>
  <c r="B22" i="27"/>
  <c r="C21" i="27"/>
  <c r="B21" i="27"/>
  <c r="C20" i="27"/>
  <c r="B20" i="27"/>
  <c r="C19" i="27"/>
  <c r="B19" i="27"/>
  <c r="C18" i="27"/>
  <c r="B18" i="27"/>
  <c r="C17" i="27"/>
  <c r="B17" i="27"/>
  <c r="C16" i="27"/>
  <c r="B16" i="27"/>
  <c r="C15" i="27"/>
  <c r="B15" i="27"/>
  <c r="C14" i="27"/>
  <c r="B14" i="27"/>
  <c r="C13" i="27"/>
  <c r="B13" i="27"/>
  <c r="C12" i="27"/>
  <c r="B12" i="27"/>
  <c r="C11" i="27"/>
  <c r="B11" i="27"/>
  <c r="C9" i="27"/>
  <c r="B9" i="27"/>
  <c r="C10" i="27"/>
  <c r="B10" i="27"/>
  <c r="C8" i="27"/>
  <c r="B8" i="27"/>
  <c r="C7" i="27"/>
  <c r="B7" i="27"/>
  <c r="C6" i="27"/>
  <c r="B6" i="27"/>
  <c r="C5" i="27"/>
  <c r="B5" i="27"/>
  <c r="C4" i="27"/>
  <c r="B4" i="27"/>
  <c r="Q11" i="10"/>
  <c r="N11" i="10"/>
  <c r="N36" i="10" s="1"/>
  <c r="K11" i="10"/>
  <c r="K36" i="10" s="1"/>
  <c r="H11" i="10"/>
  <c r="H36" i="10" s="1"/>
  <c r="G11" i="10"/>
  <c r="G36" i="10" s="1"/>
  <c r="F11" i="10"/>
  <c r="F36" i="10" s="1"/>
  <c r="E11" i="10"/>
  <c r="E36" i="10" s="1"/>
  <c r="D11" i="10"/>
  <c r="D36" i="10" s="1"/>
  <c r="BM11" i="10"/>
  <c r="BJ11" i="10"/>
  <c r="BJ36" i="10" s="1"/>
  <c r="BG11" i="10"/>
  <c r="BD11" i="10"/>
  <c r="BD36" i="10" s="1"/>
  <c r="BA11" i="10"/>
  <c r="AX11" i="10"/>
  <c r="AX36" i="10" s="1"/>
  <c r="AU11" i="10"/>
  <c r="AR11" i="10"/>
  <c r="T11" i="27" s="1"/>
  <c r="AO11" i="10"/>
  <c r="AO36" i="10" s="1"/>
  <c r="AL11" i="10"/>
  <c r="AI11" i="10"/>
  <c r="AF11" i="10"/>
  <c r="AF36" i="10" s="1"/>
  <c r="AC11" i="10"/>
  <c r="AC36" i="10" s="1"/>
  <c r="Z11" i="10"/>
  <c r="Z36" i="10" s="1"/>
  <c r="W11" i="10"/>
  <c r="T11" i="10"/>
  <c r="BY11" i="10"/>
  <c r="CM11" i="10" s="1"/>
  <c r="BV11" i="10"/>
  <c r="BV36" i="10" s="1"/>
  <c r="BS11" i="10"/>
  <c r="BS36" i="10" s="1"/>
  <c r="BP11" i="10"/>
  <c r="CB11" i="10"/>
  <c r="CD33" i="10"/>
  <c r="CA33" i="10"/>
  <c r="BX33" i="10"/>
  <c r="BU33" i="10"/>
  <c r="CD32" i="10"/>
  <c r="CC32" i="10"/>
  <c r="CA32" i="10"/>
  <c r="BZ32" i="10"/>
  <c r="BX32" i="10"/>
  <c r="BW32" i="10"/>
  <c r="CD31" i="10"/>
  <c r="CC31" i="10"/>
  <c r="CA31" i="10"/>
  <c r="BZ31" i="10"/>
  <c r="BX31" i="10"/>
  <c r="BW31" i="10"/>
  <c r="BU31" i="10"/>
  <c r="BT31" i="10"/>
  <c r="CD9" i="10"/>
  <c r="CC9" i="10"/>
  <c r="CA9" i="10"/>
  <c r="BZ9" i="10"/>
  <c r="BX9" i="10"/>
  <c r="BW9" i="10"/>
  <c r="BU9" i="10"/>
  <c r="BT9" i="10"/>
  <c r="CD30" i="10"/>
  <c r="CC30" i="10"/>
  <c r="CA30" i="10"/>
  <c r="BZ30" i="10"/>
  <c r="BX30" i="10"/>
  <c r="BW30" i="10"/>
  <c r="BU30" i="10"/>
  <c r="BT30" i="10"/>
  <c r="CD35" i="10"/>
  <c r="CC35" i="10"/>
  <c r="CA35" i="10"/>
  <c r="BX35" i="10"/>
  <c r="BU35" i="10"/>
  <c r="CD29" i="10"/>
  <c r="CC29" i="10"/>
  <c r="CA29" i="10"/>
  <c r="BZ29" i="10"/>
  <c r="BX29" i="10"/>
  <c r="BW29" i="10"/>
  <c r="BU29" i="10"/>
  <c r="BT29" i="10"/>
  <c r="CD28" i="10"/>
  <c r="CC28" i="10"/>
  <c r="CA28" i="10"/>
  <c r="BZ28" i="10"/>
  <c r="BX28" i="10"/>
  <c r="BW28" i="10"/>
  <c r="BU28" i="10"/>
  <c r="BT28" i="10"/>
  <c r="CD27" i="10"/>
  <c r="CC27" i="10"/>
  <c r="CA27" i="10"/>
  <c r="BZ27" i="10"/>
  <c r="BX27" i="10"/>
  <c r="BW27" i="10"/>
  <c r="BU27" i="10"/>
  <c r="BT27" i="10"/>
  <c r="CD26" i="10"/>
  <c r="CC26" i="10"/>
  <c r="CA26" i="10"/>
  <c r="BZ26" i="10"/>
  <c r="BX26" i="10"/>
  <c r="BW26" i="10"/>
  <c r="BU26" i="10"/>
  <c r="BT26" i="10"/>
  <c r="CD25" i="10"/>
  <c r="CC25" i="10"/>
  <c r="CA25" i="10"/>
  <c r="BZ25" i="10"/>
  <c r="BX25" i="10"/>
  <c r="BW25" i="10"/>
  <c r="BU25" i="10"/>
  <c r="BT25" i="10"/>
  <c r="CD24" i="10"/>
  <c r="CC24" i="10"/>
  <c r="CA24" i="10"/>
  <c r="BZ24" i="10"/>
  <c r="BX24" i="10"/>
  <c r="BW24" i="10"/>
  <c r="BU24" i="10"/>
  <c r="BT24" i="10"/>
  <c r="CD23" i="10"/>
  <c r="CC23" i="10"/>
  <c r="CA23" i="10"/>
  <c r="BZ23" i="10"/>
  <c r="BX23" i="10"/>
  <c r="BW23" i="10"/>
  <c r="BU23" i="10"/>
  <c r="BT23" i="10"/>
  <c r="CD22" i="10"/>
  <c r="CC22" i="10"/>
  <c r="CA22" i="10"/>
  <c r="BZ22" i="10"/>
  <c r="BX22" i="10"/>
  <c r="BW22" i="10"/>
  <c r="BU22" i="10"/>
  <c r="BT22" i="10"/>
  <c r="CD21" i="10"/>
  <c r="CC21" i="10"/>
  <c r="CA21" i="10"/>
  <c r="BZ21" i="10"/>
  <c r="BX21" i="10"/>
  <c r="BW21" i="10"/>
  <c r="BU21" i="10"/>
  <c r="BT21" i="10"/>
  <c r="CD20" i="10"/>
  <c r="CC20" i="10"/>
  <c r="CA20" i="10"/>
  <c r="BZ20" i="10"/>
  <c r="BX20" i="10"/>
  <c r="BW20" i="10"/>
  <c r="BU20" i="10"/>
  <c r="BT20" i="10"/>
  <c r="CD19" i="10"/>
  <c r="CC19" i="10"/>
  <c r="CA19" i="10"/>
  <c r="BZ19" i="10"/>
  <c r="BX19" i="10"/>
  <c r="BW19" i="10"/>
  <c r="BU19" i="10"/>
  <c r="BT19" i="10"/>
  <c r="CD18" i="10"/>
  <c r="CC18" i="10"/>
  <c r="CA18" i="10"/>
  <c r="BZ18" i="10"/>
  <c r="BX18" i="10"/>
  <c r="BW18" i="10"/>
  <c r="BU18" i="10"/>
  <c r="BT18" i="10"/>
  <c r="CD17" i="10"/>
  <c r="CC17" i="10"/>
  <c r="CA17" i="10"/>
  <c r="BZ17" i="10"/>
  <c r="BX17" i="10"/>
  <c r="BW17" i="10"/>
  <c r="BU17" i="10"/>
  <c r="BT17" i="10"/>
  <c r="CD16" i="10"/>
  <c r="CC16" i="10"/>
  <c r="CA16" i="10"/>
  <c r="BZ16" i="10"/>
  <c r="BX16" i="10"/>
  <c r="BW16" i="10"/>
  <c r="BU16" i="10"/>
  <c r="BT16" i="10"/>
  <c r="CD15" i="10"/>
  <c r="CC15" i="10"/>
  <c r="CA15" i="10"/>
  <c r="BZ15" i="10"/>
  <c r="BX15" i="10"/>
  <c r="BW15" i="10"/>
  <c r="BU15" i="10"/>
  <c r="BT15" i="10"/>
  <c r="CD14" i="10"/>
  <c r="CC14" i="10"/>
  <c r="CA14" i="10"/>
  <c r="BX14" i="10"/>
  <c r="BU14" i="10"/>
  <c r="CD10" i="10"/>
  <c r="CC10" i="10"/>
  <c r="CA10" i="10"/>
  <c r="BZ10" i="10"/>
  <c r="BX10" i="10"/>
  <c r="BW10" i="10"/>
  <c r="BU10" i="10"/>
  <c r="BT10" i="10"/>
  <c r="CD13" i="10"/>
  <c r="CC13" i="10"/>
  <c r="CA13" i="10"/>
  <c r="BZ13" i="10"/>
  <c r="BX13" i="10"/>
  <c r="BW13" i="10"/>
  <c r="BU13" i="10"/>
  <c r="BT13" i="10"/>
  <c r="CD12" i="10"/>
  <c r="CC12" i="10"/>
  <c r="CA12" i="10"/>
  <c r="BZ12" i="10"/>
  <c r="BX12" i="10"/>
  <c r="BW12" i="10"/>
  <c r="BU12" i="10"/>
  <c r="BT12" i="10"/>
  <c r="CD8" i="10"/>
  <c r="CC8" i="10"/>
  <c r="CA8" i="10"/>
  <c r="BZ8" i="10"/>
  <c r="BX8" i="10"/>
  <c r="BW8" i="10"/>
  <c r="BU8" i="10"/>
  <c r="BT8" i="10"/>
  <c r="CB36" i="10" l="1"/>
  <c r="CP36" i="10" s="1"/>
  <c r="CP11" i="10"/>
  <c r="AF11" i="27"/>
  <c r="AG11" i="27" s="1"/>
  <c r="P36" i="5"/>
  <c r="N46" i="8"/>
  <c r="N64" i="8"/>
  <c r="N92" i="8" s="1"/>
  <c r="T5" i="5"/>
  <c r="T8" i="5"/>
  <c r="T6" i="5"/>
  <c r="T10" i="5"/>
  <c r="T4" i="5"/>
  <c r="T7" i="5"/>
  <c r="T9" i="5"/>
  <c r="U11" i="27"/>
  <c r="V11" i="27" s="1"/>
  <c r="AA11" i="10"/>
  <c r="BU11" i="10"/>
  <c r="K36" i="5"/>
  <c r="L36" i="5" s="1"/>
  <c r="Q36" i="5"/>
  <c r="R36" i="5" s="1"/>
  <c r="P11" i="5"/>
  <c r="H11" i="5"/>
  <c r="E36" i="5"/>
  <c r="H36" i="5" s="1"/>
  <c r="AG11" i="10"/>
  <c r="V11" i="10"/>
  <c r="L11" i="10"/>
  <c r="X11" i="27"/>
  <c r="Y11" i="27" s="1"/>
  <c r="Z11" i="27" s="1"/>
  <c r="BW11" i="10"/>
  <c r="AN11" i="10"/>
  <c r="CC11" i="10"/>
  <c r="AQ11" i="10"/>
  <c r="AE11" i="10"/>
  <c r="CD11" i="10"/>
  <c r="M11" i="10"/>
  <c r="BT11" i="10"/>
  <c r="BB11" i="10"/>
  <c r="BX11" i="10"/>
  <c r="CJ11" i="10"/>
  <c r="J11" i="10"/>
  <c r="W36" i="10"/>
  <c r="J36" i="5"/>
  <c r="N36" i="5"/>
  <c r="AD36" i="10"/>
  <c r="AB36" i="10"/>
  <c r="BO11" i="10"/>
  <c r="AJ11" i="10"/>
  <c r="BC11" i="10"/>
  <c r="I11" i="10"/>
  <c r="AQ36" i="10"/>
  <c r="S11" i="10"/>
  <c r="BZ11" i="10"/>
  <c r="AK11" i="10"/>
  <c r="BF11" i="10"/>
  <c r="BP36" i="10"/>
  <c r="BR36" i="10" s="1"/>
  <c r="AR36" i="10"/>
  <c r="BF36" i="10" s="1"/>
  <c r="BG36" i="10"/>
  <c r="BK36" i="10" s="1"/>
  <c r="BE11" i="10"/>
  <c r="BM36" i="10"/>
  <c r="BR11" i="10"/>
  <c r="AT11" i="10"/>
  <c r="BH11" i="10"/>
  <c r="O11" i="10"/>
  <c r="BY36" i="10"/>
  <c r="AI36" i="10"/>
  <c r="Q36" i="10"/>
  <c r="AE36" i="10" s="1"/>
  <c r="AB11" i="27"/>
  <c r="AC11" i="27" s="1"/>
  <c r="AD11" i="27" s="1"/>
  <c r="BQ11" i="10"/>
  <c r="AD11" i="10"/>
  <c r="AY11" i="10"/>
  <c r="BI11" i="10"/>
  <c r="P11" i="10"/>
  <c r="T36" i="10"/>
  <c r="V36" i="10" s="1"/>
  <c r="BA36" i="10"/>
  <c r="BL36" i="10"/>
  <c r="AH11" i="10"/>
  <c r="AZ11" i="10"/>
  <c r="BL11" i="10"/>
  <c r="R11" i="10"/>
  <c r="AL36" i="10"/>
  <c r="AN36" i="10" s="1"/>
  <c r="AG36" i="10"/>
  <c r="AB11" i="10"/>
  <c r="CA11" i="10"/>
  <c r="BK11" i="10"/>
  <c r="BN11" i="10"/>
  <c r="AV11" i="10"/>
  <c r="AW11" i="10"/>
  <c r="AS11" i="10"/>
  <c r="AM11" i="10"/>
  <c r="AP11" i="10"/>
  <c r="X11" i="10"/>
  <c r="Y11" i="10"/>
  <c r="U11" i="10"/>
  <c r="CG11" i="10"/>
  <c r="CF11" i="10"/>
  <c r="K19" i="18" l="1"/>
  <c r="AH11" i="27"/>
  <c r="AI11" i="27" s="1"/>
  <c r="S11" i="5" s="1"/>
  <c r="T11" i="5" s="1"/>
  <c r="Y36" i="10"/>
  <c r="AA36" i="10"/>
  <c r="X36" i="10"/>
  <c r="BH36" i="10"/>
  <c r="BU36" i="10"/>
  <c r="AM36" i="10"/>
  <c r="AP36" i="10"/>
  <c r="N48" i="8"/>
  <c r="N53" i="8"/>
  <c r="N54" i="8"/>
  <c r="N55" i="8"/>
  <c r="N57" i="8"/>
  <c r="N50" i="8"/>
  <c r="N58" i="8"/>
  <c r="N62" i="8"/>
  <c r="N44" i="8"/>
  <c r="N59" i="8"/>
  <c r="N52" i="8"/>
  <c r="N60" i="8"/>
  <c r="N51" i="8"/>
  <c r="N56" i="8"/>
  <c r="N49" i="8"/>
  <c r="BT36" i="10"/>
  <c r="BQ36" i="10"/>
  <c r="BB36" i="10"/>
  <c r="BC36" i="10"/>
  <c r="BO36" i="10"/>
  <c r="AH36" i="10"/>
  <c r="BN36" i="10"/>
  <c r="AK36" i="10"/>
  <c r="AJ36" i="10"/>
  <c r="BE36" i="10"/>
  <c r="AZ36" i="10"/>
  <c r="U36" i="10"/>
  <c r="AS36" i="10"/>
  <c r="AT36" i="10"/>
  <c r="AA11" i="27"/>
  <c r="AE11" i="27"/>
  <c r="W11" i="27"/>
  <c r="BY35" i="4" l="1"/>
  <c r="BX35" i="4"/>
  <c r="BV35" i="4"/>
  <c r="BU35" i="4"/>
  <c r="BS35" i="4"/>
  <c r="BR35" i="4"/>
  <c r="BY29" i="4" l="1"/>
  <c r="BX29" i="4"/>
  <c r="BV29" i="4"/>
  <c r="BU29" i="4"/>
  <c r="BS29" i="4"/>
  <c r="BR29" i="4"/>
  <c r="BP29" i="4"/>
  <c r="BO29" i="4"/>
  <c r="BM29" i="4"/>
  <c r="BL29" i="4"/>
  <c r="BJ29" i="4"/>
  <c r="BI29" i="4"/>
  <c r="BG29" i="4"/>
  <c r="BF29" i="4"/>
  <c r="BD29" i="4"/>
  <c r="BC29" i="4"/>
  <c r="BA29" i="4"/>
  <c r="AZ29" i="4"/>
  <c r="AX29" i="4"/>
  <c r="AW29" i="4"/>
  <c r="AU29" i="4"/>
  <c r="AT29" i="4"/>
  <c r="AR29" i="4"/>
  <c r="AQ29" i="4"/>
  <c r="AO29" i="4"/>
  <c r="AN29" i="4"/>
  <c r="AL29" i="4"/>
  <c r="AK29" i="4"/>
  <c r="AI29" i="4"/>
  <c r="AH29" i="4"/>
  <c r="AF29" i="4"/>
  <c r="AE29" i="4"/>
  <c r="AC29" i="4"/>
  <c r="AB29" i="4"/>
  <c r="Z29" i="4"/>
  <c r="Y29" i="4"/>
  <c r="W29" i="4"/>
  <c r="V29" i="4"/>
  <c r="T29" i="4"/>
  <c r="S29" i="4"/>
  <c r="Q29" i="4"/>
  <c r="P29" i="4"/>
  <c r="N29" i="4"/>
  <c r="M29" i="4"/>
  <c r="K29" i="4"/>
  <c r="J29" i="4"/>
  <c r="CD30" i="4" l="1"/>
  <c r="CD82" i="4" s="1"/>
  <c r="CA30" i="4"/>
  <c r="CE35" i="4"/>
  <c r="CD35" i="4"/>
  <c r="BV33" i="4" l="1"/>
  <c r="BU33" i="4"/>
  <c r="BS33" i="4"/>
  <c r="BR33" i="4"/>
  <c r="BP33" i="4"/>
  <c r="BO33" i="4"/>
  <c r="BM33" i="4"/>
  <c r="BL33" i="4"/>
  <c r="BJ33" i="4"/>
  <c r="BI33" i="4"/>
  <c r="BG33" i="4"/>
  <c r="BF33" i="4"/>
  <c r="BD33" i="4"/>
  <c r="BC33" i="4"/>
  <c r="BA33" i="4"/>
  <c r="AZ33" i="4"/>
  <c r="AX33" i="4"/>
  <c r="AW33" i="4"/>
  <c r="AU33" i="4"/>
  <c r="AT33" i="4"/>
  <c r="AR33" i="4"/>
  <c r="AQ33" i="4"/>
  <c r="AO33" i="4"/>
  <c r="AN33" i="4"/>
  <c r="AL33" i="4"/>
  <c r="AK33" i="4"/>
  <c r="AI33" i="4"/>
  <c r="AH33" i="4"/>
  <c r="AF33" i="4"/>
  <c r="AE33" i="4"/>
  <c r="AC33" i="4"/>
  <c r="AB33" i="4"/>
  <c r="Z33" i="4"/>
  <c r="Y33" i="4"/>
  <c r="W33" i="4"/>
  <c r="V33" i="4"/>
  <c r="T33" i="4"/>
  <c r="S33" i="4"/>
  <c r="Q33" i="4"/>
  <c r="P33" i="4"/>
  <c r="N33" i="4"/>
  <c r="M33" i="4"/>
  <c r="K33" i="4"/>
  <c r="J33" i="4"/>
  <c r="BX33" i="4"/>
  <c r="BY33" i="4"/>
  <c r="CE30" i="4" l="1"/>
  <c r="CB30" i="4"/>
  <c r="CF47" i="4"/>
  <c r="CT47" i="4" s="1"/>
  <c r="CF4" i="4"/>
  <c r="CT4" i="4" s="1"/>
  <c r="CF67" i="4"/>
  <c r="CT67" i="4" s="1"/>
  <c r="CF79" i="4"/>
  <c r="CT79" i="4" s="1"/>
  <c r="CF74" i="4"/>
  <c r="CT74" i="4" s="1"/>
  <c r="CF71" i="4"/>
  <c r="CT71" i="4" s="1"/>
  <c r="CF64" i="4"/>
  <c r="CT64" i="4" s="1"/>
  <c r="CF58" i="4"/>
  <c r="CT58" i="4" s="1"/>
  <c r="CC39" i="4"/>
  <c r="CQ39" i="4" s="1"/>
  <c r="CJ71" i="4" l="1"/>
  <c r="CJ74" i="4"/>
  <c r="CJ47" i="4"/>
  <c r="CJ58" i="4"/>
  <c r="CJ79" i="4"/>
  <c r="CJ4" i="4"/>
  <c r="CJ64" i="4"/>
  <c r="CJ67" i="4"/>
  <c r="CF72" i="4"/>
  <c r="CF65" i="4"/>
  <c r="CF80" i="4"/>
  <c r="S28" i="11" l="1"/>
  <c r="Q28" i="11"/>
  <c r="O28" i="11"/>
  <c r="M28" i="11"/>
  <c r="K28" i="11"/>
  <c r="I28" i="11"/>
  <c r="G28" i="11"/>
  <c r="D28" i="11"/>
  <c r="C28" i="11"/>
  <c r="C79" i="11" s="1"/>
  <c r="CF46" i="4"/>
  <c r="CT46" i="4" s="1"/>
  <c r="CF39" i="4"/>
  <c r="CT39" i="4" s="1"/>
  <c r="CF28" i="4"/>
  <c r="CT28" i="4" s="1"/>
  <c r="CF15" i="4"/>
  <c r="CT15" i="4" l="1"/>
  <c r="CF3" i="4"/>
  <c r="CT3" i="4" s="1"/>
  <c r="CJ28" i="4"/>
  <c r="CG39" i="4"/>
  <c r="CJ39" i="4"/>
  <c r="CJ46" i="4"/>
  <c r="CJ15" i="4"/>
  <c r="CF27" i="4"/>
  <c r="CT27" i="4" s="1"/>
  <c r="CJ3" i="4" l="1"/>
  <c r="CF54" i="4"/>
  <c r="CJ27" i="4"/>
  <c r="CT54" i="4" l="1"/>
  <c r="CF55" i="4"/>
  <c r="CJ54" i="4"/>
  <c r="E26" i="26"/>
  <c r="E46" i="26" s="1"/>
  <c r="K26" i="8"/>
  <c r="K46" i="8" l="1"/>
  <c r="K64" i="8"/>
  <c r="K92" i="8" s="1"/>
  <c r="T3" i="27"/>
  <c r="T36" i="27" s="1"/>
  <c r="CF36" i="10" l="1"/>
  <c r="CF9" i="10"/>
  <c r="CF10" i="10"/>
  <c r="CF8" i="10"/>
  <c r="CF7" i="10"/>
  <c r="CF6" i="10"/>
  <c r="CF5" i="10"/>
  <c r="CF4" i="10"/>
  <c r="CF3" i="10"/>
  <c r="F52" i="11"/>
  <c r="H52" i="11"/>
  <c r="J52" i="11"/>
  <c r="L52" i="11"/>
  <c r="N52" i="11"/>
  <c r="P52" i="11"/>
  <c r="R52" i="11"/>
  <c r="F55" i="11"/>
  <c r="F61" i="11"/>
  <c r="F64" i="11"/>
  <c r="F68" i="11"/>
  <c r="F71" i="11"/>
  <c r="F75" i="11"/>
  <c r="H55" i="11"/>
  <c r="H61" i="11"/>
  <c r="H62" i="11" s="1"/>
  <c r="H64" i="11"/>
  <c r="H68" i="11"/>
  <c r="H71" i="11"/>
  <c r="H75" i="11"/>
  <c r="J55" i="11"/>
  <c r="J61" i="11"/>
  <c r="J64" i="11"/>
  <c r="J68" i="11"/>
  <c r="J71" i="11"/>
  <c r="J75" i="11"/>
  <c r="R4" i="4"/>
  <c r="R15" i="4"/>
  <c r="R28" i="4"/>
  <c r="R39" i="4"/>
  <c r="R47" i="4"/>
  <c r="R46" i="4" s="1"/>
  <c r="BF11" i="4"/>
  <c r="BD9" i="4"/>
  <c r="BF9" i="4"/>
  <c r="S9" i="11"/>
  <c r="Q9" i="11"/>
  <c r="O9" i="11"/>
  <c r="M9" i="11"/>
  <c r="K9" i="11"/>
  <c r="I9" i="11"/>
  <c r="G9" i="11"/>
  <c r="D9" i="11"/>
  <c r="C9" i="11"/>
  <c r="CE9" i="4"/>
  <c r="CD9" i="4"/>
  <c r="CB9" i="4"/>
  <c r="CA9" i="4"/>
  <c r="BY9" i="4"/>
  <c r="BX9" i="4"/>
  <c r="BV9" i="4"/>
  <c r="BU9" i="4"/>
  <c r="BS9" i="4"/>
  <c r="BR9" i="4"/>
  <c r="BP9" i="4"/>
  <c r="BO9" i="4"/>
  <c r="BM9" i="4"/>
  <c r="BL9" i="4"/>
  <c r="BJ9" i="4"/>
  <c r="BI9" i="4"/>
  <c r="BG9" i="4"/>
  <c r="BC9" i="4"/>
  <c r="BA9" i="4"/>
  <c r="AZ9" i="4"/>
  <c r="AX9" i="4"/>
  <c r="AW9" i="4"/>
  <c r="AU9" i="4"/>
  <c r="AT9" i="4"/>
  <c r="AR9" i="4"/>
  <c r="AQ9" i="4"/>
  <c r="AO9" i="4"/>
  <c r="AN9" i="4"/>
  <c r="AL9" i="4"/>
  <c r="AK9" i="4"/>
  <c r="AI9" i="4"/>
  <c r="AH9" i="4"/>
  <c r="AF9" i="4"/>
  <c r="AE9" i="4"/>
  <c r="AC9" i="4"/>
  <c r="AB9" i="4"/>
  <c r="Z9" i="4"/>
  <c r="Y9" i="4"/>
  <c r="W9" i="4"/>
  <c r="V9" i="4"/>
  <c r="T9" i="4"/>
  <c r="S9" i="4"/>
  <c r="Q9" i="4"/>
  <c r="P9" i="4"/>
  <c r="N9" i="4"/>
  <c r="M9" i="4"/>
  <c r="K9" i="4"/>
  <c r="J9" i="4"/>
  <c r="J62" i="11" l="1"/>
  <c r="H76" i="11"/>
  <c r="H69" i="11"/>
  <c r="J76" i="11"/>
  <c r="F69" i="11"/>
  <c r="J69" i="11"/>
  <c r="F62" i="11"/>
  <c r="R27" i="4"/>
  <c r="R54" i="4" s="1"/>
  <c r="R3" i="4"/>
  <c r="K62" i="8"/>
  <c r="F76" i="11"/>
  <c r="Q74" i="11"/>
  <c r="Q73" i="11"/>
  <c r="Q72" i="11"/>
  <c r="Q67" i="11"/>
  <c r="Q66" i="11"/>
  <c r="Q65" i="11"/>
  <c r="Q60" i="11"/>
  <c r="Q59" i="11"/>
  <c r="Q58" i="11"/>
  <c r="Q57" i="11"/>
  <c r="Q56" i="11"/>
  <c r="O74" i="11"/>
  <c r="O73" i="11"/>
  <c r="O72" i="11"/>
  <c r="O67" i="11"/>
  <c r="O66" i="11"/>
  <c r="O65" i="11"/>
  <c r="O60" i="11"/>
  <c r="O59" i="11"/>
  <c r="O58" i="11"/>
  <c r="O57" i="11"/>
  <c r="O56" i="11"/>
  <c r="M74" i="11"/>
  <c r="M73" i="11"/>
  <c r="M72" i="11"/>
  <c r="M67" i="11"/>
  <c r="M66" i="11"/>
  <c r="M65" i="11"/>
  <c r="M60" i="11"/>
  <c r="M59" i="11"/>
  <c r="M58" i="11"/>
  <c r="M57" i="11"/>
  <c r="M56" i="11"/>
  <c r="K74" i="11"/>
  <c r="K73" i="11"/>
  <c r="K72" i="11"/>
  <c r="K67" i="11"/>
  <c r="K66" i="11"/>
  <c r="K65" i="11"/>
  <c r="K60" i="11"/>
  <c r="K59" i="11"/>
  <c r="K58" i="11"/>
  <c r="K57" i="11"/>
  <c r="K56" i="11"/>
  <c r="I74" i="11"/>
  <c r="I73" i="11"/>
  <c r="I72" i="11"/>
  <c r="I67" i="11"/>
  <c r="I66" i="11"/>
  <c r="I65" i="11"/>
  <c r="I60" i="11"/>
  <c r="I59" i="11"/>
  <c r="I58" i="11"/>
  <c r="I57" i="11"/>
  <c r="I56" i="11"/>
  <c r="G74" i="11"/>
  <c r="G73" i="11"/>
  <c r="G72" i="11"/>
  <c r="G67" i="11"/>
  <c r="G66" i="11"/>
  <c r="G65" i="11"/>
  <c r="G60" i="11"/>
  <c r="G59" i="11"/>
  <c r="G58" i="11"/>
  <c r="G57" i="11"/>
  <c r="G56" i="11"/>
  <c r="BG77" i="4"/>
  <c r="BG76" i="4"/>
  <c r="BG75" i="4"/>
  <c r="BG70" i="4"/>
  <c r="BG69" i="4"/>
  <c r="BG68" i="4"/>
  <c r="BG63" i="4"/>
  <c r="BG62" i="4"/>
  <c r="BG61" i="4"/>
  <c r="BG60" i="4"/>
  <c r="BG59" i="4"/>
  <c r="BJ77" i="4"/>
  <c r="BJ76" i="4"/>
  <c r="BJ75" i="4"/>
  <c r="BJ70" i="4"/>
  <c r="BJ69" i="4"/>
  <c r="BJ68" i="4"/>
  <c r="BJ63" i="4"/>
  <c r="BJ62" i="4"/>
  <c r="BJ61" i="4"/>
  <c r="BJ60" i="4"/>
  <c r="BJ59" i="4"/>
  <c r="BM77" i="4"/>
  <c r="BM76" i="4"/>
  <c r="BM75" i="4"/>
  <c r="BM70" i="4"/>
  <c r="BM69" i="4"/>
  <c r="BM68" i="4"/>
  <c r="BM63" i="4"/>
  <c r="BM62" i="4"/>
  <c r="BM61" i="4"/>
  <c r="BM60" i="4"/>
  <c r="BM59" i="4"/>
  <c r="BP77" i="4"/>
  <c r="BP76" i="4"/>
  <c r="BP75" i="4"/>
  <c r="BP70" i="4"/>
  <c r="BP69" i="4"/>
  <c r="BP68" i="4"/>
  <c r="BP63" i="4"/>
  <c r="BP62" i="4"/>
  <c r="BP61" i="4"/>
  <c r="BP60" i="4"/>
  <c r="BP59" i="4"/>
  <c r="BV77" i="4"/>
  <c r="BV76" i="4"/>
  <c r="BV75" i="4"/>
  <c r="BV70" i="4"/>
  <c r="BV69" i="4"/>
  <c r="BV68" i="4"/>
  <c r="BV63" i="4"/>
  <c r="BV62" i="4"/>
  <c r="BV61" i="4"/>
  <c r="BV60" i="4"/>
  <c r="BV59" i="4"/>
  <c r="BY77" i="4"/>
  <c r="BY76" i="4"/>
  <c r="BY75" i="4"/>
  <c r="BY70" i="4"/>
  <c r="BY69" i="4"/>
  <c r="BY68" i="4"/>
  <c r="BY63" i="4"/>
  <c r="BY62" i="4"/>
  <c r="BY61" i="4"/>
  <c r="BY60" i="4"/>
  <c r="BY59" i="4"/>
  <c r="CB77" i="4"/>
  <c r="CB76" i="4"/>
  <c r="CB75" i="4"/>
  <c r="CB70" i="4"/>
  <c r="CB69" i="4"/>
  <c r="CB68" i="4"/>
  <c r="CB63" i="4"/>
  <c r="CB62" i="4"/>
  <c r="CB61" i="4"/>
  <c r="CB60" i="4"/>
  <c r="CB59" i="4"/>
  <c r="CA77" i="4"/>
  <c r="CA76" i="4"/>
  <c r="CA75" i="4"/>
  <c r="CA70" i="4"/>
  <c r="CA69" i="4"/>
  <c r="CA68" i="4"/>
  <c r="CA63" i="4"/>
  <c r="CA62" i="4"/>
  <c r="CA61" i="4"/>
  <c r="CA60" i="4"/>
  <c r="CA59" i="4"/>
  <c r="BX77" i="4"/>
  <c r="BX76" i="4"/>
  <c r="BX75" i="4"/>
  <c r="BX70" i="4"/>
  <c r="BX69" i="4"/>
  <c r="BX68" i="4"/>
  <c r="BX63" i="4"/>
  <c r="BX106" i="4" s="1"/>
  <c r="BX62" i="4"/>
  <c r="BX105" i="4" s="1"/>
  <c r="BX61" i="4"/>
  <c r="BX60" i="4"/>
  <c r="BX102" i="4" s="1"/>
  <c r="BX59" i="4"/>
  <c r="BX101" i="4" s="1"/>
  <c r="BU77" i="4"/>
  <c r="BU76" i="4"/>
  <c r="BU75" i="4"/>
  <c r="BU70" i="4"/>
  <c r="BU69" i="4"/>
  <c r="BU68" i="4"/>
  <c r="BU63" i="4"/>
  <c r="BU106" i="4" s="1"/>
  <c r="BU62" i="4"/>
  <c r="BU105" i="4" s="1"/>
  <c r="BU61" i="4"/>
  <c r="BU60" i="4"/>
  <c r="BU102" i="4" s="1"/>
  <c r="BU59" i="4"/>
  <c r="BU101" i="4" s="1"/>
  <c r="BO77" i="4"/>
  <c r="BO76" i="4"/>
  <c r="BO75" i="4"/>
  <c r="BO70" i="4"/>
  <c r="BO69" i="4"/>
  <c r="BO68" i="4"/>
  <c r="BO63" i="4"/>
  <c r="BO62" i="4"/>
  <c r="BO61" i="4"/>
  <c r="BO60" i="4"/>
  <c r="BO59" i="4"/>
  <c r="BL77" i="4"/>
  <c r="BL76" i="4"/>
  <c r="BL75" i="4"/>
  <c r="BL70" i="4"/>
  <c r="BL69" i="4"/>
  <c r="BL68" i="4"/>
  <c r="BL63" i="4"/>
  <c r="BL62" i="4"/>
  <c r="BL61" i="4"/>
  <c r="BL60" i="4"/>
  <c r="BL59" i="4"/>
  <c r="BI77" i="4"/>
  <c r="BI76" i="4"/>
  <c r="BI75" i="4"/>
  <c r="BI70" i="4"/>
  <c r="BI69" i="4"/>
  <c r="BI68" i="4"/>
  <c r="BI63" i="4"/>
  <c r="BI62" i="4"/>
  <c r="BI61" i="4"/>
  <c r="BI60" i="4"/>
  <c r="BI59" i="4"/>
  <c r="BF77" i="4"/>
  <c r="BF76" i="4"/>
  <c r="BF75" i="4"/>
  <c r="BF70" i="4"/>
  <c r="BF69" i="4"/>
  <c r="BF68" i="4"/>
  <c r="BF63" i="4"/>
  <c r="BF62" i="4"/>
  <c r="BF61" i="4"/>
  <c r="BF60" i="4"/>
  <c r="BF59" i="4"/>
  <c r="BC77" i="4"/>
  <c r="BC76" i="4"/>
  <c r="BC75" i="4"/>
  <c r="BC70" i="4"/>
  <c r="BC69" i="4"/>
  <c r="BC68" i="4"/>
  <c r="BC63" i="4"/>
  <c r="BC62" i="4"/>
  <c r="BC61" i="4"/>
  <c r="BC60" i="4"/>
  <c r="BC59" i="4"/>
  <c r="AZ77" i="4"/>
  <c r="AZ76" i="4"/>
  <c r="AZ75" i="4"/>
  <c r="AZ70" i="4"/>
  <c r="AZ69" i="4"/>
  <c r="AZ68" i="4"/>
  <c r="AZ63" i="4"/>
  <c r="AZ62" i="4"/>
  <c r="AZ61" i="4"/>
  <c r="AZ60" i="4"/>
  <c r="AZ59" i="4"/>
  <c r="AW77" i="4"/>
  <c r="AW76" i="4"/>
  <c r="AW75" i="4"/>
  <c r="AW70" i="4"/>
  <c r="AW69" i="4"/>
  <c r="AW68" i="4"/>
  <c r="AW63" i="4"/>
  <c r="AW62" i="4"/>
  <c r="AW61" i="4"/>
  <c r="AW60" i="4"/>
  <c r="AW59" i="4"/>
  <c r="AT77" i="4"/>
  <c r="AT76" i="4"/>
  <c r="AT75" i="4"/>
  <c r="AT70" i="4"/>
  <c r="AT69" i="4"/>
  <c r="AT68" i="4"/>
  <c r="AT63" i="4"/>
  <c r="AT62" i="4"/>
  <c r="AT61" i="4"/>
  <c r="AT60" i="4"/>
  <c r="AT59" i="4"/>
  <c r="BS77" i="4"/>
  <c r="BR77" i="4"/>
  <c r="BS76" i="4"/>
  <c r="BR76" i="4"/>
  <c r="BS75" i="4"/>
  <c r="BR75" i="4"/>
  <c r="BS70" i="4"/>
  <c r="BR70" i="4"/>
  <c r="BS69" i="4"/>
  <c r="BR69" i="4"/>
  <c r="BS68" i="4"/>
  <c r="BR68" i="4"/>
  <c r="BS63" i="4"/>
  <c r="BR63" i="4"/>
  <c r="BR106" i="4" s="1"/>
  <c r="BS62" i="4"/>
  <c r="BR62" i="4"/>
  <c r="BR105" i="4" s="1"/>
  <c r="BS61" i="4"/>
  <c r="BR61" i="4"/>
  <c r="BS60" i="4"/>
  <c r="BR60" i="4"/>
  <c r="BR102" i="4" s="1"/>
  <c r="BS59" i="4"/>
  <c r="BR59" i="4"/>
  <c r="BR101" i="4" s="1"/>
  <c r="CE77" i="4"/>
  <c r="CD77" i="4"/>
  <c r="CE76" i="4"/>
  <c r="CD76" i="4"/>
  <c r="CE75" i="4"/>
  <c r="CD75" i="4"/>
  <c r="CE70" i="4"/>
  <c r="CD70" i="4"/>
  <c r="CE69" i="4"/>
  <c r="CD69" i="4"/>
  <c r="CE68" i="4"/>
  <c r="CD68" i="4"/>
  <c r="CE63" i="4"/>
  <c r="CD63" i="4"/>
  <c r="CE62" i="4"/>
  <c r="CD62" i="4"/>
  <c r="CE61" i="4"/>
  <c r="CD61" i="4"/>
  <c r="CE60" i="4"/>
  <c r="CD60" i="4"/>
  <c r="CE59" i="4"/>
  <c r="CD59" i="4"/>
  <c r="CE53" i="4"/>
  <c r="CE52" i="4"/>
  <c r="CD52" i="4"/>
  <c r="CE51" i="4"/>
  <c r="CD51" i="4"/>
  <c r="CE50" i="4"/>
  <c r="CE90" i="4" s="1"/>
  <c r="CD50" i="4"/>
  <c r="CD90" i="4" s="1"/>
  <c r="CE49" i="4"/>
  <c r="CD49" i="4"/>
  <c r="CE48" i="4"/>
  <c r="CD48" i="4"/>
  <c r="CE44" i="4"/>
  <c r="CD44" i="4"/>
  <c r="CE43" i="4"/>
  <c r="CD43" i="4"/>
  <c r="CE42" i="4"/>
  <c r="CD42" i="4"/>
  <c r="CE41" i="4"/>
  <c r="CD41" i="4"/>
  <c r="CE40" i="4"/>
  <c r="CD40" i="4"/>
  <c r="CE38" i="4"/>
  <c r="CD38" i="4"/>
  <c r="CE37" i="4"/>
  <c r="CD37" i="4"/>
  <c r="CE36" i="4"/>
  <c r="CD36" i="4"/>
  <c r="CE34" i="4"/>
  <c r="CD34" i="4"/>
  <c r="CE32" i="4"/>
  <c r="CD32" i="4"/>
  <c r="CE31" i="4"/>
  <c r="CD31" i="4"/>
  <c r="CE29" i="4"/>
  <c r="CD29" i="4"/>
  <c r="CE25" i="4"/>
  <c r="CD25" i="4"/>
  <c r="CE24" i="4"/>
  <c r="CD24" i="4"/>
  <c r="CE23" i="4"/>
  <c r="CD23" i="4"/>
  <c r="CE22" i="4"/>
  <c r="CD22" i="4"/>
  <c r="CE21" i="4"/>
  <c r="CD21" i="4"/>
  <c r="CE20" i="4"/>
  <c r="CD20" i="4"/>
  <c r="CE19" i="4"/>
  <c r="CD19" i="4"/>
  <c r="CE18" i="4"/>
  <c r="CD18" i="4"/>
  <c r="CE17" i="4"/>
  <c r="CD17" i="4"/>
  <c r="CE16" i="4"/>
  <c r="CD16" i="4"/>
  <c r="CE13" i="4"/>
  <c r="CD13" i="4"/>
  <c r="CE12" i="4"/>
  <c r="CD12" i="4"/>
  <c r="CE10" i="4"/>
  <c r="CD10" i="4"/>
  <c r="CE8" i="4"/>
  <c r="CD8" i="4"/>
  <c r="CE7" i="4"/>
  <c r="CD7" i="4"/>
  <c r="CE6" i="4"/>
  <c r="CD6" i="4"/>
  <c r="CE5" i="4"/>
  <c r="CD5" i="4"/>
  <c r="M57" i="8" l="1"/>
  <c r="M49" i="8"/>
  <c r="M56" i="8"/>
  <c r="M52" i="8"/>
  <c r="M51" i="8"/>
  <c r="M58" i="8"/>
  <c r="M55" i="8"/>
  <c r="M54" i="8"/>
  <c r="M50" i="8"/>
  <c r="M53" i="8"/>
  <c r="M60" i="8"/>
  <c r="M59" i="8"/>
  <c r="M48" i="8"/>
  <c r="R55" i="4"/>
  <c r="A3" i="10"/>
  <c r="A4" i="10" s="1"/>
  <c r="A5" i="10" s="1"/>
  <c r="A6" i="10" s="1"/>
  <c r="A7" i="10" s="1"/>
  <c r="A8" i="10" s="1"/>
  <c r="A9" i="10" s="1"/>
  <c r="Q50" i="11"/>
  <c r="Q49" i="11"/>
  <c r="Q48" i="11"/>
  <c r="Q47" i="11"/>
  <c r="Q46" i="11"/>
  <c r="Q45" i="11"/>
  <c r="Q42" i="11"/>
  <c r="Q41" i="11"/>
  <c r="Q40" i="11"/>
  <c r="Q39" i="11"/>
  <c r="Q38" i="11"/>
  <c r="Q35" i="11"/>
  <c r="Q34" i="11"/>
  <c r="Q33" i="11"/>
  <c r="Q32" i="11"/>
  <c r="Q31" i="11"/>
  <c r="Q30" i="11"/>
  <c r="Q29" i="11"/>
  <c r="Q27" i="11"/>
  <c r="Q24" i="11"/>
  <c r="Q23" i="11"/>
  <c r="Q22" i="11"/>
  <c r="Q21" i="11"/>
  <c r="Q20" i="11"/>
  <c r="Q19" i="11"/>
  <c r="Q18" i="11"/>
  <c r="Q17" i="11"/>
  <c r="Q16" i="11"/>
  <c r="Q15" i="11"/>
  <c r="Q13" i="11"/>
  <c r="Q12" i="11"/>
  <c r="Q11" i="11"/>
  <c r="Q10" i="11"/>
  <c r="Q8" i="11"/>
  <c r="Q7" i="11"/>
  <c r="Q6" i="11"/>
  <c r="Q5" i="11"/>
  <c r="N75" i="11"/>
  <c r="L75" i="11"/>
  <c r="M75" i="11" s="1"/>
  <c r="K75" i="11"/>
  <c r="E75" i="11"/>
  <c r="G75" i="11" s="1"/>
  <c r="N71" i="11"/>
  <c r="L71" i="11"/>
  <c r="M71" i="11" s="1"/>
  <c r="K71" i="11"/>
  <c r="I71" i="11"/>
  <c r="E71" i="11"/>
  <c r="G71" i="11" s="1"/>
  <c r="N68" i="11"/>
  <c r="L68" i="11"/>
  <c r="E68" i="11"/>
  <c r="G68" i="11" s="1"/>
  <c r="N64" i="11"/>
  <c r="L64" i="11"/>
  <c r="K64" i="11"/>
  <c r="E64" i="11"/>
  <c r="N61" i="11"/>
  <c r="L61" i="11"/>
  <c r="K61" i="11"/>
  <c r="E61" i="11"/>
  <c r="G61" i="11" s="1"/>
  <c r="N55" i="11"/>
  <c r="L55" i="11"/>
  <c r="M55" i="11" s="1"/>
  <c r="K55" i="11"/>
  <c r="I55" i="11"/>
  <c r="E55" i="11"/>
  <c r="G55" i="11" s="1"/>
  <c r="O50" i="11"/>
  <c r="M50" i="11"/>
  <c r="K50" i="11"/>
  <c r="I50" i="11"/>
  <c r="G50" i="11"/>
  <c r="O49" i="11"/>
  <c r="M49" i="11"/>
  <c r="K49" i="11"/>
  <c r="I49" i="11"/>
  <c r="G49" i="11"/>
  <c r="O48" i="11"/>
  <c r="M48" i="11"/>
  <c r="K48" i="11"/>
  <c r="I48" i="11"/>
  <c r="G48" i="11"/>
  <c r="O47" i="11"/>
  <c r="M47" i="11"/>
  <c r="K47" i="11"/>
  <c r="I47" i="11"/>
  <c r="G47" i="11"/>
  <c r="O46" i="11"/>
  <c r="M46" i="11"/>
  <c r="K46" i="11"/>
  <c r="I46" i="11"/>
  <c r="G46" i="11"/>
  <c r="O45" i="11"/>
  <c r="M45" i="11"/>
  <c r="K45" i="11"/>
  <c r="I45" i="11"/>
  <c r="G45" i="11"/>
  <c r="E44" i="11"/>
  <c r="E43" i="11" s="1"/>
  <c r="O42" i="11"/>
  <c r="M42" i="11"/>
  <c r="K42" i="11"/>
  <c r="I42" i="11"/>
  <c r="G42" i="11"/>
  <c r="O41" i="11"/>
  <c r="M41" i="11"/>
  <c r="K41" i="11"/>
  <c r="I41" i="11"/>
  <c r="G41" i="11"/>
  <c r="O40" i="11"/>
  <c r="M40" i="11"/>
  <c r="K40" i="11"/>
  <c r="I40" i="11"/>
  <c r="G40" i="11"/>
  <c r="O39" i="11"/>
  <c r="M39" i="11"/>
  <c r="K39" i="11"/>
  <c r="I39" i="11"/>
  <c r="G39" i="11"/>
  <c r="O38" i="11"/>
  <c r="M38" i="11"/>
  <c r="K38" i="11"/>
  <c r="I38" i="11"/>
  <c r="G38" i="11"/>
  <c r="E37" i="11"/>
  <c r="O35" i="11"/>
  <c r="M35" i="11"/>
  <c r="K35" i="11"/>
  <c r="I35" i="11"/>
  <c r="G35" i="11"/>
  <c r="O34" i="11"/>
  <c r="M34" i="11"/>
  <c r="K34" i="11"/>
  <c r="I34" i="11"/>
  <c r="G34" i="11"/>
  <c r="O33" i="11"/>
  <c r="M33" i="11"/>
  <c r="O32" i="11"/>
  <c r="M32" i="11"/>
  <c r="K32" i="11"/>
  <c r="I32" i="11"/>
  <c r="G32" i="11"/>
  <c r="O31" i="11"/>
  <c r="M31" i="11"/>
  <c r="K31" i="11"/>
  <c r="I31" i="11"/>
  <c r="G31" i="11"/>
  <c r="O30" i="11"/>
  <c r="M30" i="11"/>
  <c r="K30" i="11"/>
  <c r="I30" i="11"/>
  <c r="G30" i="11"/>
  <c r="O29" i="11"/>
  <c r="M29" i="11"/>
  <c r="K29" i="11"/>
  <c r="I29" i="11"/>
  <c r="G29" i="11"/>
  <c r="O27" i="11"/>
  <c r="M27" i="11"/>
  <c r="K27" i="11"/>
  <c r="I27" i="11"/>
  <c r="G27" i="11"/>
  <c r="E26" i="11"/>
  <c r="O24" i="11"/>
  <c r="M24" i="11"/>
  <c r="K24" i="11"/>
  <c r="I24" i="11"/>
  <c r="G24" i="11"/>
  <c r="O23" i="11"/>
  <c r="M23" i="11"/>
  <c r="K23" i="11"/>
  <c r="I23" i="11"/>
  <c r="G23" i="11"/>
  <c r="O22" i="11"/>
  <c r="M22" i="11"/>
  <c r="K22" i="11"/>
  <c r="I22" i="11"/>
  <c r="G22" i="11"/>
  <c r="O21" i="11"/>
  <c r="M21" i="11"/>
  <c r="K21" i="11"/>
  <c r="I21" i="11"/>
  <c r="G21" i="11"/>
  <c r="O20" i="11"/>
  <c r="M20" i="11"/>
  <c r="K20" i="11"/>
  <c r="I20" i="11"/>
  <c r="G20" i="11"/>
  <c r="O19" i="11"/>
  <c r="M19" i="11"/>
  <c r="K19" i="11"/>
  <c r="I19" i="11"/>
  <c r="G19" i="11"/>
  <c r="O18" i="11"/>
  <c r="M18" i="11"/>
  <c r="K18" i="11"/>
  <c r="I18" i="11"/>
  <c r="G18" i="11"/>
  <c r="O17" i="11"/>
  <c r="M17" i="11"/>
  <c r="O16" i="11"/>
  <c r="M16" i="11"/>
  <c r="O15" i="11"/>
  <c r="M15" i="11"/>
  <c r="K15" i="11"/>
  <c r="I15" i="11"/>
  <c r="G15" i="11"/>
  <c r="E14" i="11"/>
  <c r="O13" i="11"/>
  <c r="M13" i="11"/>
  <c r="K13" i="11"/>
  <c r="I13" i="11"/>
  <c r="G13" i="11"/>
  <c r="O12" i="11"/>
  <c r="M12" i="11"/>
  <c r="K12" i="11"/>
  <c r="I12" i="11"/>
  <c r="G12" i="11"/>
  <c r="O11" i="11"/>
  <c r="M11" i="11"/>
  <c r="K11" i="11"/>
  <c r="I11" i="11"/>
  <c r="G11" i="11"/>
  <c r="O10" i="11"/>
  <c r="M10" i="11"/>
  <c r="K10" i="11"/>
  <c r="I10" i="11"/>
  <c r="G10" i="11"/>
  <c r="O8" i="11"/>
  <c r="M8" i="11"/>
  <c r="K8" i="11"/>
  <c r="I8" i="11"/>
  <c r="G8" i="11"/>
  <c r="O7" i="11"/>
  <c r="M7" i="11"/>
  <c r="K7" i="11"/>
  <c r="I7" i="11"/>
  <c r="G7" i="11"/>
  <c r="O6" i="11"/>
  <c r="M6" i="11"/>
  <c r="K6" i="11"/>
  <c r="I6" i="11"/>
  <c r="G6" i="11"/>
  <c r="O5" i="11"/>
  <c r="M5" i="11"/>
  <c r="K5" i="11"/>
  <c r="I5" i="11"/>
  <c r="G5" i="11"/>
  <c r="E4" i="11"/>
  <c r="P33" i="5"/>
  <c r="P31" i="5"/>
  <c r="P9" i="5"/>
  <c r="P30" i="5"/>
  <c r="P29" i="5"/>
  <c r="P28" i="5"/>
  <c r="P27" i="5"/>
  <c r="P26" i="5"/>
  <c r="P25" i="5"/>
  <c r="P24" i="5"/>
  <c r="P23" i="5"/>
  <c r="P22" i="5"/>
  <c r="P21" i="5"/>
  <c r="P20" i="5"/>
  <c r="P19" i="5"/>
  <c r="P18" i="5"/>
  <c r="P17" i="5"/>
  <c r="P16" i="5"/>
  <c r="P15" i="5"/>
  <c r="P10" i="5"/>
  <c r="P13" i="5"/>
  <c r="P12" i="5"/>
  <c r="P8" i="5"/>
  <c r="P7" i="5"/>
  <c r="P6" i="5"/>
  <c r="P5" i="5"/>
  <c r="P4" i="5"/>
  <c r="P3" i="5"/>
  <c r="N33" i="5"/>
  <c r="L33" i="5"/>
  <c r="J33" i="5"/>
  <c r="H33" i="5"/>
  <c r="F33" i="5"/>
  <c r="N31" i="5"/>
  <c r="L31" i="5"/>
  <c r="J31" i="5"/>
  <c r="H31" i="5"/>
  <c r="F31" i="5"/>
  <c r="N9" i="5"/>
  <c r="L9" i="5"/>
  <c r="J9" i="5"/>
  <c r="H9" i="5"/>
  <c r="F9" i="5"/>
  <c r="N30" i="5"/>
  <c r="L30" i="5"/>
  <c r="J30" i="5"/>
  <c r="H30" i="5"/>
  <c r="F30" i="5"/>
  <c r="N29" i="5"/>
  <c r="L29" i="5"/>
  <c r="J29" i="5"/>
  <c r="H29" i="5"/>
  <c r="F29" i="5"/>
  <c r="N28" i="5"/>
  <c r="L28" i="5"/>
  <c r="J28" i="5"/>
  <c r="H28" i="5"/>
  <c r="F28" i="5"/>
  <c r="N27" i="5"/>
  <c r="L27" i="5"/>
  <c r="J27" i="5"/>
  <c r="H27" i="5"/>
  <c r="F27" i="5"/>
  <c r="N26" i="5"/>
  <c r="L26" i="5"/>
  <c r="J26" i="5"/>
  <c r="H26" i="5"/>
  <c r="F26" i="5"/>
  <c r="N25" i="5"/>
  <c r="L25" i="5"/>
  <c r="J25" i="5"/>
  <c r="H25" i="5"/>
  <c r="F25" i="5"/>
  <c r="N24" i="5"/>
  <c r="L24" i="5"/>
  <c r="J24" i="5"/>
  <c r="H24" i="5"/>
  <c r="F24" i="5"/>
  <c r="N23" i="5"/>
  <c r="L23" i="5"/>
  <c r="J23" i="5"/>
  <c r="H23" i="5"/>
  <c r="F23" i="5"/>
  <c r="N22" i="5"/>
  <c r="L22" i="5"/>
  <c r="J22" i="5"/>
  <c r="H22" i="5"/>
  <c r="F22" i="5"/>
  <c r="N21" i="5"/>
  <c r="L21" i="5"/>
  <c r="J21" i="5"/>
  <c r="H21" i="5"/>
  <c r="F21" i="5"/>
  <c r="N20" i="5"/>
  <c r="L20" i="5"/>
  <c r="J20" i="5"/>
  <c r="H20" i="5"/>
  <c r="F20" i="5"/>
  <c r="N19" i="5"/>
  <c r="L19" i="5"/>
  <c r="J19" i="5"/>
  <c r="H19" i="5"/>
  <c r="F19" i="5"/>
  <c r="N18" i="5"/>
  <c r="L18" i="5"/>
  <c r="J18" i="5"/>
  <c r="H18" i="5"/>
  <c r="F18" i="5"/>
  <c r="N17" i="5"/>
  <c r="L17" i="5"/>
  <c r="J17" i="5"/>
  <c r="H17" i="5"/>
  <c r="F17" i="5"/>
  <c r="N16" i="5"/>
  <c r="L16" i="5"/>
  <c r="J16" i="5"/>
  <c r="H16" i="5"/>
  <c r="F16" i="5"/>
  <c r="N15" i="5"/>
  <c r="L15" i="5"/>
  <c r="J15" i="5"/>
  <c r="H15" i="5"/>
  <c r="F15" i="5"/>
  <c r="H14" i="5"/>
  <c r="F14" i="5"/>
  <c r="N10" i="5"/>
  <c r="L10" i="5"/>
  <c r="J10" i="5"/>
  <c r="H10" i="5"/>
  <c r="F10" i="5"/>
  <c r="N13" i="5"/>
  <c r="L13" i="5"/>
  <c r="J13" i="5"/>
  <c r="H13" i="5"/>
  <c r="F13" i="5"/>
  <c r="N12" i="5"/>
  <c r="L12" i="5"/>
  <c r="J12" i="5"/>
  <c r="H12" i="5"/>
  <c r="F12" i="5"/>
  <c r="N8" i="5"/>
  <c r="L8" i="5"/>
  <c r="J8" i="5"/>
  <c r="H8" i="5"/>
  <c r="F8" i="5"/>
  <c r="N7" i="5"/>
  <c r="L7" i="5"/>
  <c r="J7" i="5"/>
  <c r="H7" i="5"/>
  <c r="F7" i="5"/>
  <c r="N6" i="5"/>
  <c r="L6" i="5"/>
  <c r="J6" i="5"/>
  <c r="H6" i="5"/>
  <c r="F6" i="5"/>
  <c r="N5" i="5"/>
  <c r="L5" i="5"/>
  <c r="J5" i="5"/>
  <c r="H5" i="5"/>
  <c r="F5" i="5"/>
  <c r="N4" i="5"/>
  <c r="L4" i="5"/>
  <c r="J4" i="5"/>
  <c r="H4" i="5"/>
  <c r="F4" i="5"/>
  <c r="N3" i="5"/>
  <c r="L3" i="5"/>
  <c r="J3" i="5"/>
  <c r="H3" i="5"/>
  <c r="F3" i="5"/>
  <c r="BC33" i="10"/>
  <c r="AZ33" i="10"/>
  <c r="AW33" i="10"/>
  <c r="AT33" i="10"/>
  <c r="AQ33" i="10"/>
  <c r="AN33" i="10"/>
  <c r="AK33" i="10"/>
  <c r="AH33" i="10"/>
  <c r="AE33" i="10"/>
  <c r="AB33" i="10"/>
  <c r="Y33" i="10"/>
  <c r="V33" i="10"/>
  <c r="S33" i="10"/>
  <c r="P33" i="10"/>
  <c r="M33" i="10"/>
  <c r="J33" i="10"/>
  <c r="BC34" i="10"/>
  <c r="AZ34" i="10"/>
  <c r="AW34" i="10"/>
  <c r="AT34" i="10"/>
  <c r="AQ34" i="10"/>
  <c r="AP34" i="10"/>
  <c r="AN34" i="10"/>
  <c r="AK34" i="10"/>
  <c r="AH34" i="10"/>
  <c r="AE34" i="10"/>
  <c r="AB34" i="10"/>
  <c r="Y34" i="10"/>
  <c r="V34" i="10"/>
  <c r="S34" i="10"/>
  <c r="P34" i="10"/>
  <c r="M34" i="10"/>
  <c r="J34" i="10"/>
  <c r="BC31" i="10"/>
  <c r="BB31" i="10"/>
  <c r="AZ31" i="10"/>
  <c r="AY31" i="10"/>
  <c r="AW31" i="10"/>
  <c r="AV31" i="10"/>
  <c r="AT31" i="10"/>
  <c r="AS31" i="10"/>
  <c r="AQ31" i="10"/>
  <c r="AP31" i="10"/>
  <c r="AN31" i="10"/>
  <c r="AM31" i="10"/>
  <c r="AK31" i="10"/>
  <c r="AJ31" i="10"/>
  <c r="AH31" i="10"/>
  <c r="AG31" i="10"/>
  <c r="AE31" i="10"/>
  <c r="AD31" i="10"/>
  <c r="AB31" i="10"/>
  <c r="AA31" i="10"/>
  <c r="Y31" i="10"/>
  <c r="X31" i="10"/>
  <c r="V31" i="10"/>
  <c r="U31" i="10"/>
  <c r="S31" i="10"/>
  <c r="R31" i="10"/>
  <c r="P31" i="10"/>
  <c r="O31" i="10"/>
  <c r="M31" i="10"/>
  <c r="L31" i="10"/>
  <c r="J31" i="10"/>
  <c r="I31" i="10"/>
  <c r="BC9" i="10"/>
  <c r="BB9" i="10"/>
  <c r="AZ9" i="10"/>
  <c r="AY9" i="10"/>
  <c r="AW9" i="10"/>
  <c r="AV9" i="10"/>
  <c r="AT9" i="10"/>
  <c r="AS9" i="10"/>
  <c r="AQ9" i="10"/>
  <c r="AP9" i="10"/>
  <c r="AN9" i="10"/>
  <c r="AM9" i="10"/>
  <c r="AK9" i="10"/>
  <c r="AJ9" i="10"/>
  <c r="AH9" i="10"/>
  <c r="AG9" i="10"/>
  <c r="AE9" i="10"/>
  <c r="AD9" i="10"/>
  <c r="AB9" i="10"/>
  <c r="AA9" i="10"/>
  <c r="Y9" i="10"/>
  <c r="X9" i="10"/>
  <c r="V9" i="10"/>
  <c r="U9" i="10"/>
  <c r="S9" i="10"/>
  <c r="R9" i="10"/>
  <c r="P9" i="10"/>
  <c r="O9" i="10"/>
  <c r="M9" i="10"/>
  <c r="L9" i="10"/>
  <c r="J9" i="10"/>
  <c r="I9" i="10"/>
  <c r="BC30" i="10"/>
  <c r="BB30" i="10"/>
  <c r="AZ30" i="10"/>
  <c r="AY30" i="10"/>
  <c r="AW30" i="10"/>
  <c r="AV30" i="10"/>
  <c r="AT30" i="10"/>
  <c r="AS30" i="10"/>
  <c r="AQ30" i="10"/>
  <c r="AP30" i="10"/>
  <c r="AN30" i="10"/>
  <c r="AM30" i="10"/>
  <c r="AK30" i="10"/>
  <c r="AJ30" i="10"/>
  <c r="AH30" i="10"/>
  <c r="AG30" i="10"/>
  <c r="AE30" i="10"/>
  <c r="AD30" i="10"/>
  <c r="AB30" i="10"/>
  <c r="AA30" i="10"/>
  <c r="Y30" i="10"/>
  <c r="X30" i="10"/>
  <c r="V30" i="10"/>
  <c r="U30" i="10"/>
  <c r="S30" i="10"/>
  <c r="R30" i="10"/>
  <c r="P30" i="10"/>
  <c r="O30" i="10"/>
  <c r="M30" i="10"/>
  <c r="L30" i="10"/>
  <c r="J30" i="10"/>
  <c r="I30" i="10"/>
  <c r="BC35" i="10"/>
  <c r="BB35" i="10"/>
  <c r="AZ35" i="10"/>
  <c r="AY35" i="10"/>
  <c r="AW35" i="10"/>
  <c r="AV35" i="10"/>
  <c r="AT35" i="10"/>
  <c r="AS35" i="10"/>
  <c r="AQ35" i="10"/>
  <c r="AP35" i="10"/>
  <c r="AN35" i="10"/>
  <c r="AM35" i="10"/>
  <c r="AK35" i="10"/>
  <c r="AJ35" i="10"/>
  <c r="AH35" i="10"/>
  <c r="AG35" i="10"/>
  <c r="AE35" i="10"/>
  <c r="AD35" i="10"/>
  <c r="AB35" i="10"/>
  <c r="AA35" i="10"/>
  <c r="Y35" i="10"/>
  <c r="X35" i="10"/>
  <c r="V35" i="10"/>
  <c r="U35" i="10"/>
  <c r="S35" i="10"/>
  <c r="P35" i="10"/>
  <c r="M35" i="10"/>
  <c r="J35" i="10"/>
  <c r="I35" i="10"/>
  <c r="BC29" i="10"/>
  <c r="BB29" i="10"/>
  <c r="AZ29" i="10"/>
  <c r="AY29" i="10"/>
  <c r="AW29" i="10"/>
  <c r="AV29" i="10"/>
  <c r="AT29" i="10"/>
  <c r="AS29" i="10"/>
  <c r="AQ29" i="10"/>
  <c r="AP29" i="10"/>
  <c r="AN29" i="10"/>
  <c r="AM29" i="10"/>
  <c r="AK29" i="10"/>
  <c r="AJ29" i="10"/>
  <c r="AH29" i="10"/>
  <c r="AG29" i="10"/>
  <c r="AE29" i="10"/>
  <c r="AD29" i="10"/>
  <c r="AB29" i="10"/>
  <c r="AA29" i="10"/>
  <c r="Y29" i="10"/>
  <c r="X29" i="10"/>
  <c r="V29" i="10"/>
  <c r="U29" i="10"/>
  <c r="S29" i="10"/>
  <c r="R29" i="10"/>
  <c r="P29" i="10"/>
  <c r="O29" i="10"/>
  <c r="M29" i="10"/>
  <c r="L29" i="10"/>
  <c r="J29" i="10"/>
  <c r="I29" i="10"/>
  <c r="BC28" i="10"/>
  <c r="BB28" i="10"/>
  <c r="AZ28" i="10"/>
  <c r="AY28" i="10"/>
  <c r="AW28" i="10"/>
  <c r="AV28" i="10"/>
  <c r="AT28" i="10"/>
  <c r="AS28" i="10"/>
  <c r="AQ28" i="10"/>
  <c r="AP28" i="10"/>
  <c r="AN28" i="10"/>
  <c r="AM28" i="10"/>
  <c r="AK28" i="10"/>
  <c r="AJ28" i="10"/>
  <c r="AH28" i="10"/>
  <c r="AG28" i="10"/>
  <c r="AE28" i="10"/>
  <c r="AD28" i="10"/>
  <c r="AB28" i="10"/>
  <c r="AA28" i="10"/>
  <c r="Y28" i="10"/>
  <c r="X28" i="10"/>
  <c r="V28" i="10"/>
  <c r="U28" i="10"/>
  <c r="S28" i="10"/>
  <c r="R28" i="10"/>
  <c r="P28" i="10"/>
  <c r="O28" i="10"/>
  <c r="M28" i="10"/>
  <c r="L28" i="10"/>
  <c r="J28" i="10"/>
  <c r="I28" i="10"/>
  <c r="BC27" i="10"/>
  <c r="BB27" i="10"/>
  <c r="AZ27" i="10"/>
  <c r="AY27" i="10"/>
  <c r="AW27" i="10"/>
  <c r="AV27" i="10"/>
  <c r="AT27" i="10"/>
  <c r="AS27" i="10"/>
  <c r="AQ27" i="10"/>
  <c r="AP27" i="10"/>
  <c r="AN27" i="10"/>
  <c r="AM27" i="10"/>
  <c r="AK27" i="10"/>
  <c r="AJ27" i="10"/>
  <c r="AH27" i="10"/>
  <c r="AG27" i="10"/>
  <c r="AE27" i="10"/>
  <c r="AD27" i="10"/>
  <c r="AB27" i="10"/>
  <c r="AA27" i="10"/>
  <c r="Y27" i="10"/>
  <c r="X27" i="10"/>
  <c r="V27" i="10"/>
  <c r="U27" i="10"/>
  <c r="S27" i="10"/>
  <c r="R27" i="10"/>
  <c r="P27" i="10"/>
  <c r="O27" i="10"/>
  <c r="M27" i="10"/>
  <c r="L27" i="10"/>
  <c r="J27" i="10"/>
  <c r="I27" i="10"/>
  <c r="BC26" i="10"/>
  <c r="BB26" i="10"/>
  <c r="AZ26" i="10"/>
  <c r="AY26" i="10"/>
  <c r="AW26" i="10"/>
  <c r="AV26" i="10"/>
  <c r="AT26" i="10"/>
  <c r="AS26" i="10"/>
  <c r="AQ26" i="10"/>
  <c r="AP26" i="10"/>
  <c r="AN26" i="10"/>
  <c r="AM26" i="10"/>
  <c r="AK26" i="10"/>
  <c r="AJ26" i="10"/>
  <c r="AH26" i="10"/>
  <c r="AG26" i="10"/>
  <c r="AE26" i="10"/>
  <c r="AD26" i="10"/>
  <c r="AB26" i="10"/>
  <c r="AA26" i="10"/>
  <c r="Y26" i="10"/>
  <c r="X26" i="10"/>
  <c r="V26" i="10"/>
  <c r="U26" i="10"/>
  <c r="S26" i="10"/>
  <c r="R26" i="10"/>
  <c r="P26" i="10"/>
  <c r="O26" i="10"/>
  <c r="M26" i="10"/>
  <c r="L26" i="10"/>
  <c r="J26" i="10"/>
  <c r="I26" i="10"/>
  <c r="BC25" i="10"/>
  <c r="BB25" i="10"/>
  <c r="AZ25" i="10"/>
  <c r="AY25" i="10"/>
  <c r="AW25" i="10"/>
  <c r="AV25" i="10"/>
  <c r="AT25" i="10"/>
  <c r="AS25" i="10"/>
  <c r="AQ25" i="10"/>
  <c r="AP25" i="10"/>
  <c r="AN25" i="10"/>
  <c r="AM25" i="10"/>
  <c r="AK25" i="10"/>
  <c r="AJ25" i="10"/>
  <c r="AH25" i="10"/>
  <c r="AG25" i="10"/>
  <c r="AE25" i="10"/>
  <c r="AD25" i="10"/>
  <c r="AB25" i="10"/>
  <c r="AA25" i="10"/>
  <c r="Y25" i="10"/>
  <c r="X25" i="10"/>
  <c r="V25" i="10"/>
  <c r="U25" i="10"/>
  <c r="S25" i="10"/>
  <c r="R25" i="10"/>
  <c r="P25" i="10"/>
  <c r="O25" i="10"/>
  <c r="M25" i="10"/>
  <c r="L25" i="10"/>
  <c r="J25" i="10"/>
  <c r="I25" i="10"/>
  <c r="BC24" i="10"/>
  <c r="BB24" i="10"/>
  <c r="AZ24" i="10"/>
  <c r="AY24" i="10"/>
  <c r="AW24" i="10"/>
  <c r="AV24" i="10"/>
  <c r="AT24" i="10"/>
  <c r="AS24" i="10"/>
  <c r="AQ24" i="10"/>
  <c r="AP24" i="10"/>
  <c r="AN24" i="10"/>
  <c r="AM24" i="10"/>
  <c r="AK24" i="10"/>
  <c r="AJ24" i="10"/>
  <c r="AH24" i="10"/>
  <c r="AG24" i="10"/>
  <c r="AE24" i="10"/>
  <c r="AD24" i="10"/>
  <c r="AB24" i="10"/>
  <c r="AA24" i="10"/>
  <c r="Y24" i="10"/>
  <c r="X24" i="10"/>
  <c r="V24" i="10"/>
  <c r="U24" i="10"/>
  <c r="S24" i="10"/>
  <c r="R24" i="10"/>
  <c r="P24" i="10"/>
  <c r="O24" i="10"/>
  <c r="M24" i="10"/>
  <c r="L24" i="10"/>
  <c r="J24" i="10"/>
  <c r="I24" i="10"/>
  <c r="BC23" i="10"/>
  <c r="BB23" i="10"/>
  <c r="AZ23" i="10"/>
  <c r="AY23" i="10"/>
  <c r="AW23" i="10"/>
  <c r="AV23" i="10"/>
  <c r="AT23" i="10"/>
  <c r="AS23" i="10"/>
  <c r="AQ23" i="10"/>
  <c r="AP23" i="10"/>
  <c r="AN23" i="10"/>
  <c r="AM23" i="10"/>
  <c r="AK23" i="10"/>
  <c r="AJ23" i="10"/>
  <c r="AH23" i="10"/>
  <c r="AG23" i="10"/>
  <c r="AE23" i="10"/>
  <c r="AD23" i="10"/>
  <c r="AB23" i="10"/>
  <c r="AA23" i="10"/>
  <c r="Y23" i="10"/>
  <c r="X23" i="10"/>
  <c r="V23" i="10"/>
  <c r="U23" i="10"/>
  <c r="S23" i="10"/>
  <c r="R23" i="10"/>
  <c r="P23" i="10"/>
  <c r="O23" i="10"/>
  <c r="M23" i="10"/>
  <c r="L23" i="10"/>
  <c r="J23" i="10"/>
  <c r="I23" i="10"/>
  <c r="BC22" i="10"/>
  <c r="BB22" i="10"/>
  <c r="AZ22" i="10"/>
  <c r="AY22" i="10"/>
  <c r="AW22" i="10"/>
  <c r="AV22" i="10"/>
  <c r="AT22" i="10"/>
  <c r="AS22" i="10"/>
  <c r="AQ22" i="10"/>
  <c r="AP22" i="10"/>
  <c r="AN22" i="10"/>
  <c r="AM22" i="10"/>
  <c r="AK22" i="10"/>
  <c r="AJ22" i="10"/>
  <c r="AH22" i="10"/>
  <c r="AG22" i="10"/>
  <c r="AE22" i="10"/>
  <c r="AD22" i="10"/>
  <c r="AB22" i="10"/>
  <c r="AA22" i="10"/>
  <c r="Y22" i="10"/>
  <c r="X22" i="10"/>
  <c r="V22" i="10"/>
  <c r="U22" i="10"/>
  <c r="S22" i="10"/>
  <c r="R22" i="10"/>
  <c r="P22" i="10"/>
  <c r="O22" i="10"/>
  <c r="M22" i="10"/>
  <c r="L22" i="10"/>
  <c r="J22" i="10"/>
  <c r="I22" i="10"/>
  <c r="BC21" i="10"/>
  <c r="BB21" i="10"/>
  <c r="AZ21" i="10"/>
  <c r="AY21" i="10"/>
  <c r="AW21" i="10"/>
  <c r="AV21" i="10"/>
  <c r="AT21" i="10"/>
  <c r="AS21" i="10"/>
  <c r="AQ21" i="10"/>
  <c r="AP21" i="10"/>
  <c r="AN21" i="10"/>
  <c r="AM21" i="10"/>
  <c r="AK21" i="10"/>
  <c r="AJ21" i="10"/>
  <c r="AH21" i="10"/>
  <c r="AG21" i="10"/>
  <c r="AE21" i="10"/>
  <c r="AD21" i="10"/>
  <c r="AB21" i="10"/>
  <c r="AA21" i="10"/>
  <c r="Y21" i="10"/>
  <c r="X21" i="10"/>
  <c r="V21" i="10"/>
  <c r="U21" i="10"/>
  <c r="S21" i="10"/>
  <c r="R21" i="10"/>
  <c r="P21" i="10"/>
  <c r="O21" i="10"/>
  <c r="M21" i="10"/>
  <c r="L21" i="10"/>
  <c r="J21" i="10"/>
  <c r="I21" i="10"/>
  <c r="BC20" i="10"/>
  <c r="BB20" i="10"/>
  <c r="AZ20" i="10"/>
  <c r="AY20" i="10"/>
  <c r="AW20" i="10"/>
  <c r="AV20" i="10"/>
  <c r="AT20" i="10"/>
  <c r="AS20" i="10"/>
  <c r="AQ20" i="10"/>
  <c r="AP20" i="10"/>
  <c r="AN20" i="10"/>
  <c r="AM20" i="10"/>
  <c r="AK20" i="10"/>
  <c r="AJ20" i="10"/>
  <c r="AH20" i="10"/>
  <c r="AG20" i="10"/>
  <c r="AE20" i="10"/>
  <c r="AD20" i="10"/>
  <c r="AB20" i="10"/>
  <c r="AA20" i="10"/>
  <c r="Y20" i="10"/>
  <c r="X20" i="10"/>
  <c r="V20" i="10"/>
  <c r="U20" i="10"/>
  <c r="S20" i="10"/>
  <c r="R20" i="10"/>
  <c r="P20" i="10"/>
  <c r="O20" i="10"/>
  <c r="M20" i="10"/>
  <c r="L20" i="10"/>
  <c r="J20" i="10"/>
  <c r="I20" i="10"/>
  <c r="BC19" i="10"/>
  <c r="BB19" i="10"/>
  <c r="AZ19" i="10"/>
  <c r="AY19" i="10"/>
  <c r="AW19" i="10"/>
  <c r="AV19" i="10"/>
  <c r="AT19" i="10"/>
  <c r="AS19" i="10"/>
  <c r="AQ19" i="10"/>
  <c r="AP19" i="10"/>
  <c r="AN19" i="10"/>
  <c r="AM19" i="10"/>
  <c r="AK19" i="10"/>
  <c r="AJ19" i="10"/>
  <c r="AH19" i="10"/>
  <c r="AG19" i="10"/>
  <c r="AE19" i="10"/>
  <c r="AD19" i="10"/>
  <c r="AB19" i="10"/>
  <c r="AA19" i="10"/>
  <c r="Y19" i="10"/>
  <c r="X19" i="10"/>
  <c r="V19" i="10"/>
  <c r="U19" i="10"/>
  <c r="S19" i="10"/>
  <c r="R19" i="10"/>
  <c r="P19" i="10"/>
  <c r="O19" i="10"/>
  <c r="M19" i="10"/>
  <c r="L19" i="10"/>
  <c r="J19" i="10"/>
  <c r="I19" i="10"/>
  <c r="BC18" i="10"/>
  <c r="BB18" i="10"/>
  <c r="AZ18" i="10"/>
  <c r="AY18" i="10"/>
  <c r="AW18" i="10"/>
  <c r="AV18" i="10"/>
  <c r="AT18" i="10"/>
  <c r="AS18" i="10"/>
  <c r="AQ18" i="10"/>
  <c r="AP18" i="10"/>
  <c r="AN18" i="10"/>
  <c r="AM18" i="10"/>
  <c r="AK18" i="10"/>
  <c r="AJ18" i="10"/>
  <c r="AH18" i="10"/>
  <c r="AG18" i="10"/>
  <c r="AE18" i="10"/>
  <c r="AD18" i="10"/>
  <c r="AB18" i="10"/>
  <c r="AA18" i="10"/>
  <c r="Y18" i="10"/>
  <c r="X18" i="10"/>
  <c r="V18" i="10"/>
  <c r="U18" i="10"/>
  <c r="S18" i="10"/>
  <c r="R18" i="10"/>
  <c r="P18" i="10"/>
  <c r="O18" i="10"/>
  <c r="M18" i="10"/>
  <c r="L18" i="10"/>
  <c r="J18" i="10"/>
  <c r="I18" i="10"/>
  <c r="BC17" i="10"/>
  <c r="BB17" i="10"/>
  <c r="AZ17" i="10"/>
  <c r="AY17" i="10"/>
  <c r="AW17" i="10"/>
  <c r="AV17" i="10"/>
  <c r="AT17" i="10"/>
  <c r="AQ17" i="10"/>
  <c r="AN17" i="10"/>
  <c r="AM17" i="10"/>
  <c r="AK17" i="10"/>
  <c r="AJ17" i="10"/>
  <c r="AH17" i="10"/>
  <c r="AG17" i="10"/>
  <c r="AE17" i="10"/>
  <c r="AD17" i="10"/>
  <c r="AB17" i="10"/>
  <c r="AA17" i="10"/>
  <c r="Y17" i="10"/>
  <c r="X17" i="10"/>
  <c r="V17" i="10"/>
  <c r="U17" i="10"/>
  <c r="S17" i="10"/>
  <c r="R17" i="10"/>
  <c r="P17" i="10"/>
  <c r="O17" i="10"/>
  <c r="M17" i="10"/>
  <c r="L17" i="10"/>
  <c r="J17" i="10"/>
  <c r="I17" i="10"/>
  <c r="BC16" i="10"/>
  <c r="BB16" i="10"/>
  <c r="AZ16" i="10"/>
  <c r="AY16" i="10"/>
  <c r="AW16" i="10"/>
  <c r="AV16" i="10"/>
  <c r="AT16" i="10"/>
  <c r="AS16" i="10"/>
  <c r="AQ16" i="10"/>
  <c r="AP16" i="10"/>
  <c r="AN16" i="10"/>
  <c r="AM16" i="10"/>
  <c r="AK16" i="10"/>
  <c r="AJ16" i="10"/>
  <c r="AH16" i="10"/>
  <c r="AG16" i="10"/>
  <c r="AE16" i="10"/>
  <c r="AD16" i="10"/>
  <c r="AB16" i="10"/>
  <c r="AA16" i="10"/>
  <c r="Y16" i="10"/>
  <c r="X16" i="10"/>
  <c r="V16" i="10"/>
  <c r="U16" i="10"/>
  <c r="S16" i="10"/>
  <c r="R16" i="10"/>
  <c r="P16" i="10"/>
  <c r="O16" i="10"/>
  <c r="M16" i="10"/>
  <c r="L16" i="10"/>
  <c r="J16" i="10"/>
  <c r="I16" i="10"/>
  <c r="BC15" i="10"/>
  <c r="BB15" i="10"/>
  <c r="AZ15" i="10"/>
  <c r="AY15" i="10"/>
  <c r="AW15" i="10"/>
  <c r="AV15" i="10"/>
  <c r="AT15" i="10"/>
  <c r="AS15" i="10"/>
  <c r="AQ15" i="10"/>
  <c r="AP15" i="10"/>
  <c r="AN15" i="10"/>
  <c r="AM15" i="10"/>
  <c r="AK15" i="10"/>
  <c r="AJ15" i="10"/>
  <c r="AH15" i="10"/>
  <c r="AG15" i="10"/>
  <c r="AE15" i="10"/>
  <c r="AD15" i="10"/>
  <c r="AB15" i="10"/>
  <c r="AA15" i="10"/>
  <c r="Y15" i="10"/>
  <c r="X15" i="10"/>
  <c r="V15" i="10"/>
  <c r="U15" i="10"/>
  <c r="S15" i="10"/>
  <c r="R15" i="10"/>
  <c r="P15" i="10"/>
  <c r="O15" i="10"/>
  <c r="M15" i="10"/>
  <c r="L15" i="10"/>
  <c r="J15" i="10"/>
  <c r="I15" i="10"/>
  <c r="BC14" i="10"/>
  <c r="AZ14" i="10"/>
  <c r="AW14" i="10"/>
  <c r="AT14" i="10"/>
  <c r="AQ14" i="10"/>
  <c r="AN14" i="10"/>
  <c r="AK14" i="10"/>
  <c r="AH14" i="10"/>
  <c r="AE14" i="10"/>
  <c r="AB14" i="10"/>
  <c r="Y14" i="10"/>
  <c r="V14" i="10"/>
  <c r="S14" i="10"/>
  <c r="R14" i="10"/>
  <c r="P14" i="10"/>
  <c r="O14" i="10"/>
  <c r="M14" i="10"/>
  <c r="J14" i="10"/>
  <c r="BC10" i="10"/>
  <c r="BB10" i="10"/>
  <c r="AZ10" i="10"/>
  <c r="AY10" i="10"/>
  <c r="AW10" i="10"/>
  <c r="AV10" i="10"/>
  <c r="AT10" i="10"/>
  <c r="AS10" i="10"/>
  <c r="AQ10" i="10"/>
  <c r="AP10" i="10"/>
  <c r="AN10" i="10"/>
  <c r="AM10" i="10"/>
  <c r="AK10" i="10"/>
  <c r="AJ10" i="10"/>
  <c r="AH10" i="10"/>
  <c r="AG10" i="10"/>
  <c r="AE10" i="10"/>
  <c r="AD10" i="10"/>
  <c r="AB10" i="10"/>
  <c r="AA10" i="10"/>
  <c r="Y10" i="10"/>
  <c r="X10" i="10"/>
  <c r="V10" i="10"/>
  <c r="U10" i="10"/>
  <c r="S10" i="10"/>
  <c r="R10" i="10"/>
  <c r="P10" i="10"/>
  <c r="O10" i="10"/>
  <c r="M10" i="10"/>
  <c r="L10" i="10"/>
  <c r="J10" i="10"/>
  <c r="I10" i="10"/>
  <c r="BC13" i="10"/>
  <c r="BB13" i="10"/>
  <c r="AZ13" i="10"/>
  <c r="AY13" i="10"/>
  <c r="AW13" i="10"/>
  <c r="AV13" i="10"/>
  <c r="AT13" i="10"/>
  <c r="AS13" i="10"/>
  <c r="AQ13" i="10"/>
  <c r="AP13" i="10"/>
  <c r="AN13" i="10"/>
  <c r="AM13" i="10"/>
  <c r="AK13" i="10"/>
  <c r="AJ13" i="10"/>
  <c r="AH13" i="10"/>
  <c r="AG13" i="10"/>
  <c r="AE13" i="10"/>
  <c r="AD13" i="10"/>
  <c r="AB13" i="10"/>
  <c r="AA13" i="10"/>
  <c r="Y13" i="10"/>
  <c r="X13" i="10"/>
  <c r="V13" i="10"/>
  <c r="U13" i="10"/>
  <c r="S13" i="10"/>
  <c r="R13" i="10"/>
  <c r="P13" i="10"/>
  <c r="O13" i="10"/>
  <c r="M13" i="10"/>
  <c r="L13" i="10"/>
  <c r="J13" i="10"/>
  <c r="I13" i="10"/>
  <c r="BC12" i="10"/>
  <c r="BB12" i="10"/>
  <c r="AZ12" i="10"/>
  <c r="AY12" i="10"/>
  <c r="AW12" i="10"/>
  <c r="AV12" i="10"/>
  <c r="AT12" i="10"/>
  <c r="AS12" i="10"/>
  <c r="AQ12" i="10"/>
  <c r="AP12" i="10"/>
  <c r="AN12" i="10"/>
  <c r="AM12" i="10"/>
  <c r="AK12" i="10"/>
  <c r="AJ12" i="10"/>
  <c r="AH12" i="10"/>
  <c r="AG12" i="10"/>
  <c r="AE12" i="10"/>
  <c r="AD12" i="10"/>
  <c r="AB12" i="10"/>
  <c r="AA12" i="10"/>
  <c r="Y12" i="10"/>
  <c r="X12" i="10"/>
  <c r="V12" i="10"/>
  <c r="U12" i="10"/>
  <c r="S12" i="10"/>
  <c r="R12" i="10"/>
  <c r="P12" i="10"/>
  <c r="O12" i="10"/>
  <c r="M12" i="10"/>
  <c r="L12" i="10"/>
  <c r="J12" i="10"/>
  <c r="I12" i="10"/>
  <c r="BC8" i="10"/>
  <c r="BB8" i="10"/>
  <c r="AZ8" i="10"/>
  <c r="AY8" i="10"/>
  <c r="AW8" i="10"/>
  <c r="AV8" i="10"/>
  <c r="AT8" i="10"/>
  <c r="AS8" i="10"/>
  <c r="AQ8" i="10"/>
  <c r="AP8" i="10"/>
  <c r="AN8" i="10"/>
  <c r="AM8" i="10"/>
  <c r="AK8" i="10"/>
  <c r="AJ8" i="10"/>
  <c r="AH8" i="10"/>
  <c r="AG8" i="10"/>
  <c r="AE8" i="10"/>
  <c r="AD8" i="10"/>
  <c r="AB8" i="10"/>
  <c r="AA8" i="10"/>
  <c r="Y8" i="10"/>
  <c r="X8" i="10"/>
  <c r="V8" i="10"/>
  <c r="U8" i="10"/>
  <c r="S8" i="10"/>
  <c r="R8" i="10"/>
  <c r="P8" i="10"/>
  <c r="O8" i="10"/>
  <c r="M8" i="10"/>
  <c r="L8" i="10"/>
  <c r="J8" i="10"/>
  <c r="I8" i="10"/>
  <c r="BC7" i="10"/>
  <c r="BB7" i="10"/>
  <c r="AZ7" i="10"/>
  <c r="AY7" i="10"/>
  <c r="AW7" i="10"/>
  <c r="AV7" i="10"/>
  <c r="AT7" i="10"/>
  <c r="AS7" i="10"/>
  <c r="AQ7" i="10"/>
  <c r="AP7" i="10"/>
  <c r="AN7" i="10"/>
  <c r="AM7" i="10"/>
  <c r="AK7" i="10"/>
  <c r="AJ7" i="10"/>
  <c r="AH7" i="10"/>
  <c r="AG7" i="10"/>
  <c r="AE7" i="10"/>
  <c r="AD7" i="10"/>
  <c r="AB7" i="10"/>
  <c r="AA7" i="10"/>
  <c r="Y7" i="10"/>
  <c r="X7" i="10"/>
  <c r="V7" i="10"/>
  <c r="U7" i="10"/>
  <c r="S7" i="10"/>
  <c r="R7" i="10"/>
  <c r="P7" i="10"/>
  <c r="O7" i="10"/>
  <c r="M7" i="10"/>
  <c r="L7" i="10"/>
  <c r="J7" i="10"/>
  <c r="I7" i="10"/>
  <c r="BC6" i="10"/>
  <c r="BB6" i="10"/>
  <c r="AZ6" i="10"/>
  <c r="AY6" i="10"/>
  <c r="AW6" i="10"/>
  <c r="AV6" i="10"/>
  <c r="AT6" i="10"/>
  <c r="AS6" i="10"/>
  <c r="AQ6" i="10"/>
  <c r="AP6" i="10"/>
  <c r="AN6" i="10"/>
  <c r="AM6" i="10"/>
  <c r="AK6" i="10"/>
  <c r="AJ6" i="10"/>
  <c r="AH6" i="10"/>
  <c r="AG6" i="10"/>
  <c r="AE6" i="10"/>
  <c r="AD6" i="10"/>
  <c r="AB6" i="10"/>
  <c r="AA6" i="10"/>
  <c r="Y6" i="10"/>
  <c r="X6" i="10"/>
  <c r="V6" i="10"/>
  <c r="U6" i="10"/>
  <c r="S6" i="10"/>
  <c r="R6" i="10"/>
  <c r="P6" i="10"/>
  <c r="O6" i="10"/>
  <c r="M6" i="10"/>
  <c r="L6" i="10"/>
  <c r="J6" i="10"/>
  <c r="I6" i="10"/>
  <c r="BC5" i="10"/>
  <c r="BB5" i="10"/>
  <c r="AZ5" i="10"/>
  <c r="AY5" i="10"/>
  <c r="AW5" i="10"/>
  <c r="AV5" i="10"/>
  <c r="AT5" i="10"/>
  <c r="AS5" i="10"/>
  <c r="AQ5" i="10"/>
  <c r="AP5" i="10"/>
  <c r="AN5" i="10"/>
  <c r="AM5" i="10"/>
  <c r="AK5" i="10"/>
  <c r="AJ5" i="10"/>
  <c r="AH5" i="10"/>
  <c r="AG5" i="10"/>
  <c r="AE5" i="10"/>
  <c r="AD5" i="10"/>
  <c r="AB5" i="10"/>
  <c r="AA5" i="10"/>
  <c r="Y5" i="10"/>
  <c r="X5" i="10"/>
  <c r="V5" i="10"/>
  <c r="U5" i="10"/>
  <c r="S5" i="10"/>
  <c r="R5" i="10"/>
  <c r="P5" i="10"/>
  <c r="O5" i="10"/>
  <c r="M5" i="10"/>
  <c r="L5" i="10"/>
  <c r="J5" i="10"/>
  <c r="I5" i="10"/>
  <c r="BC4" i="10"/>
  <c r="BB4" i="10"/>
  <c r="AZ4" i="10"/>
  <c r="AY4" i="10"/>
  <c r="AW4" i="10"/>
  <c r="AV4" i="10"/>
  <c r="AT4" i="10"/>
  <c r="AS4" i="10"/>
  <c r="AQ4" i="10"/>
  <c r="AP4" i="10"/>
  <c r="AN4" i="10"/>
  <c r="AM4" i="10"/>
  <c r="AK4" i="10"/>
  <c r="AJ4" i="10"/>
  <c r="AH4" i="10"/>
  <c r="AG4" i="10"/>
  <c r="AE4" i="10"/>
  <c r="AD4" i="10"/>
  <c r="AB4" i="10"/>
  <c r="AA4" i="10"/>
  <c r="Y4" i="10"/>
  <c r="X4" i="10"/>
  <c r="V4" i="10"/>
  <c r="U4" i="10"/>
  <c r="S4" i="10"/>
  <c r="R4" i="10"/>
  <c r="P4" i="10"/>
  <c r="O4" i="10"/>
  <c r="M4" i="10"/>
  <c r="L4" i="10"/>
  <c r="J4" i="10"/>
  <c r="I4" i="10"/>
  <c r="BC3" i="10"/>
  <c r="BB3" i="10"/>
  <c r="AZ3" i="10"/>
  <c r="AU3" i="10"/>
  <c r="AT3" i="10"/>
  <c r="AS3" i="10"/>
  <c r="AQ3" i="10"/>
  <c r="AP3" i="10"/>
  <c r="AN3" i="10"/>
  <c r="AM3" i="10"/>
  <c r="AK3" i="10"/>
  <c r="AJ3" i="10"/>
  <c r="AH3" i="10"/>
  <c r="AG3" i="10"/>
  <c r="AE3" i="10"/>
  <c r="AD3" i="10"/>
  <c r="AB3" i="10"/>
  <c r="AA3" i="10"/>
  <c r="Y3" i="10"/>
  <c r="X3" i="10"/>
  <c r="V3" i="10"/>
  <c r="U3" i="10"/>
  <c r="S3" i="10"/>
  <c r="R3" i="10"/>
  <c r="P3" i="10"/>
  <c r="O3" i="10"/>
  <c r="M3" i="10"/>
  <c r="L3" i="10"/>
  <c r="J3" i="10"/>
  <c r="I3" i="10"/>
  <c r="AU53" i="4"/>
  <c r="AU52" i="4"/>
  <c r="AT52" i="4"/>
  <c r="AU51" i="4"/>
  <c r="AT51" i="4"/>
  <c r="AU50" i="4"/>
  <c r="AU90" i="4" s="1"/>
  <c r="AT50" i="4"/>
  <c r="AT90" i="4" s="1"/>
  <c r="AU49" i="4"/>
  <c r="AT49" i="4"/>
  <c r="AU48" i="4"/>
  <c r="AT48" i="4"/>
  <c r="AU44" i="4"/>
  <c r="AT44" i="4"/>
  <c r="AU43" i="4"/>
  <c r="AT43" i="4"/>
  <c r="AU42" i="4"/>
  <c r="AT42" i="4"/>
  <c r="AU41" i="4"/>
  <c r="AT41" i="4"/>
  <c r="AU40" i="4"/>
  <c r="AT40" i="4"/>
  <c r="AU37" i="4"/>
  <c r="AT37" i="4"/>
  <c r="AU36" i="4"/>
  <c r="AT36" i="4"/>
  <c r="AU34" i="4"/>
  <c r="AT34" i="4"/>
  <c r="AU32" i="4"/>
  <c r="AT32" i="4"/>
  <c r="AU31" i="4"/>
  <c r="AT31" i="4"/>
  <c r="AU25" i="4"/>
  <c r="AT25" i="4"/>
  <c r="AU24" i="4"/>
  <c r="AT24" i="4"/>
  <c r="AU23" i="4"/>
  <c r="AT23" i="4"/>
  <c r="AU22" i="4"/>
  <c r="AT22" i="4"/>
  <c r="AU21" i="4"/>
  <c r="AT21" i="4"/>
  <c r="AU20" i="4"/>
  <c r="AT20" i="4"/>
  <c r="AU16" i="4"/>
  <c r="AT16" i="4"/>
  <c r="AU13" i="4"/>
  <c r="AT13" i="4"/>
  <c r="AU12" i="4"/>
  <c r="AT12" i="4"/>
  <c r="AU11" i="4"/>
  <c r="AT11" i="4"/>
  <c r="AU10" i="4"/>
  <c r="AT10" i="4"/>
  <c r="AU8" i="4"/>
  <c r="AT8" i="4"/>
  <c r="AU7" i="4"/>
  <c r="AT7" i="4"/>
  <c r="AU6" i="4"/>
  <c r="AT6" i="4"/>
  <c r="AU5" i="4"/>
  <c r="AT5" i="4"/>
  <c r="AX53" i="4"/>
  <c r="AX52" i="4"/>
  <c r="AW52" i="4"/>
  <c r="AX51" i="4"/>
  <c r="AW51" i="4"/>
  <c r="AX50" i="4"/>
  <c r="AX90" i="4" s="1"/>
  <c r="AW50" i="4"/>
  <c r="AW90" i="4" s="1"/>
  <c r="AX49" i="4"/>
  <c r="AW49" i="4"/>
  <c r="AX48" i="4"/>
  <c r="AW48" i="4"/>
  <c r="AX44" i="4"/>
  <c r="AW44" i="4"/>
  <c r="AX43" i="4"/>
  <c r="AW43" i="4"/>
  <c r="AX42" i="4"/>
  <c r="AW42" i="4"/>
  <c r="AX41" i="4"/>
  <c r="AW41" i="4"/>
  <c r="AX40" i="4"/>
  <c r="AW40" i="4"/>
  <c r="AX37" i="4"/>
  <c r="AW37" i="4"/>
  <c r="AX36" i="4"/>
  <c r="AW36" i="4"/>
  <c r="AX34" i="4"/>
  <c r="AW34" i="4"/>
  <c r="AX32" i="4"/>
  <c r="AW32" i="4"/>
  <c r="AX31" i="4"/>
  <c r="AW31" i="4"/>
  <c r="AX25" i="4"/>
  <c r="AW25" i="4"/>
  <c r="AX24" i="4"/>
  <c r="AW24" i="4"/>
  <c r="AX23" i="4"/>
  <c r="AW23" i="4"/>
  <c r="AX22" i="4"/>
  <c r="AW22" i="4"/>
  <c r="AX21" i="4"/>
  <c r="AW21" i="4"/>
  <c r="AX20" i="4"/>
  <c r="AW20" i="4"/>
  <c r="AX16" i="4"/>
  <c r="AW16" i="4"/>
  <c r="AX13" i="4"/>
  <c r="AW13" i="4"/>
  <c r="AX12" i="4"/>
  <c r="AW12" i="4"/>
  <c r="AX11" i="4"/>
  <c r="AW11" i="4"/>
  <c r="AX10" i="4"/>
  <c r="AW10" i="4"/>
  <c r="AX8" i="4"/>
  <c r="AW8" i="4"/>
  <c r="AX7" i="4"/>
  <c r="AW7" i="4"/>
  <c r="AX6" i="4"/>
  <c r="AW6" i="4"/>
  <c r="AX5" i="4"/>
  <c r="AW5" i="4"/>
  <c r="BA53" i="4"/>
  <c r="BA52" i="4"/>
  <c r="AZ52" i="4"/>
  <c r="BA51" i="4"/>
  <c r="AZ51" i="4"/>
  <c r="BA50" i="4"/>
  <c r="BA90" i="4" s="1"/>
  <c r="AZ50" i="4"/>
  <c r="AZ90" i="4" s="1"/>
  <c r="BA49" i="4"/>
  <c r="AZ49" i="4"/>
  <c r="BA48" i="4"/>
  <c r="AZ48" i="4"/>
  <c r="BA44" i="4"/>
  <c r="AZ44" i="4"/>
  <c r="BA43" i="4"/>
  <c r="AZ43" i="4"/>
  <c r="BA42" i="4"/>
  <c r="AZ42" i="4"/>
  <c r="BA41" i="4"/>
  <c r="AZ41" i="4"/>
  <c r="BA40" i="4"/>
  <c r="AZ40" i="4"/>
  <c r="BA37" i="4"/>
  <c r="AZ37" i="4"/>
  <c r="BA36" i="4"/>
  <c r="AZ36" i="4"/>
  <c r="BA34" i="4"/>
  <c r="AZ34" i="4"/>
  <c r="BA32" i="4"/>
  <c r="AZ32" i="4"/>
  <c r="BA31" i="4"/>
  <c r="AZ31" i="4"/>
  <c r="BA25" i="4"/>
  <c r="AZ25" i="4"/>
  <c r="BA24" i="4"/>
  <c r="AZ24" i="4"/>
  <c r="BA23" i="4"/>
  <c r="AZ23" i="4"/>
  <c r="BA22" i="4"/>
  <c r="AZ22" i="4"/>
  <c r="BA21" i="4"/>
  <c r="AZ21" i="4"/>
  <c r="BA20" i="4"/>
  <c r="AZ20" i="4"/>
  <c r="BA16" i="4"/>
  <c r="AZ16" i="4"/>
  <c r="BA13" i="4"/>
  <c r="AZ13" i="4"/>
  <c r="BA12" i="4"/>
  <c r="AZ12" i="4"/>
  <c r="BA11" i="4"/>
  <c r="AZ11" i="4"/>
  <c r="BA10" i="4"/>
  <c r="AZ10" i="4"/>
  <c r="BA8" i="4"/>
  <c r="AZ8" i="4"/>
  <c r="BA7" i="4"/>
  <c r="AZ7" i="4"/>
  <c r="BA6" i="4"/>
  <c r="AZ6" i="4"/>
  <c r="BA5" i="4"/>
  <c r="AZ5" i="4"/>
  <c r="BD53" i="4"/>
  <c r="BD52" i="4"/>
  <c r="BC52" i="4"/>
  <c r="BD51" i="4"/>
  <c r="BC51" i="4"/>
  <c r="BD50" i="4"/>
  <c r="BD90" i="4" s="1"/>
  <c r="BC50" i="4"/>
  <c r="BC90" i="4" s="1"/>
  <c r="BD49" i="4"/>
  <c r="BC49" i="4"/>
  <c r="BD48" i="4"/>
  <c r="BC48" i="4"/>
  <c r="BD44" i="4"/>
  <c r="BC44" i="4"/>
  <c r="BD43" i="4"/>
  <c r="BC43" i="4"/>
  <c r="BD42" i="4"/>
  <c r="BC42" i="4"/>
  <c r="BD41" i="4"/>
  <c r="BC41" i="4"/>
  <c r="BD40" i="4"/>
  <c r="BC40" i="4"/>
  <c r="BD37" i="4"/>
  <c r="BC37" i="4"/>
  <c r="BD36" i="4"/>
  <c r="BC36" i="4"/>
  <c r="BD34" i="4"/>
  <c r="BC34" i="4"/>
  <c r="BD32" i="4"/>
  <c r="BC32" i="4"/>
  <c r="BD31" i="4"/>
  <c r="BC31" i="4"/>
  <c r="BD25" i="4"/>
  <c r="BC25" i="4"/>
  <c r="BD24" i="4"/>
  <c r="BC24" i="4"/>
  <c r="BD23" i="4"/>
  <c r="BC23" i="4"/>
  <c r="BD22" i="4"/>
  <c r="BC22" i="4"/>
  <c r="BD21" i="4"/>
  <c r="BC21" i="4"/>
  <c r="BD20" i="4"/>
  <c r="BC20" i="4"/>
  <c r="BD16" i="4"/>
  <c r="BC16" i="4"/>
  <c r="BD13" i="4"/>
  <c r="BC13" i="4"/>
  <c r="BD12" i="4"/>
  <c r="BC12" i="4"/>
  <c r="BD11" i="4"/>
  <c r="BC11" i="4"/>
  <c r="BD10" i="4"/>
  <c r="BC10" i="4"/>
  <c r="BD8" i="4"/>
  <c r="BC8" i="4"/>
  <c r="BD7" i="4"/>
  <c r="BC7" i="4"/>
  <c r="BD6" i="4"/>
  <c r="BC6" i="4"/>
  <c r="BD5" i="4"/>
  <c r="BC5" i="4"/>
  <c r="AP79" i="4"/>
  <c r="AP74" i="4"/>
  <c r="AP71" i="4"/>
  <c r="AP67" i="4"/>
  <c r="AP64" i="4"/>
  <c r="AP58" i="4"/>
  <c r="AR53" i="4"/>
  <c r="AO53" i="4"/>
  <c r="AL53" i="4"/>
  <c r="AI53" i="4"/>
  <c r="AF53" i="4"/>
  <c r="AC53" i="4"/>
  <c r="Z53" i="4"/>
  <c r="W53" i="4"/>
  <c r="T53" i="4"/>
  <c r="S53" i="4"/>
  <c r="Q53" i="4"/>
  <c r="P53" i="4"/>
  <c r="N53" i="4"/>
  <c r="M53" i="4"/>
  <c r="K53" i="4"/>
  <c r="J53" i="4"/>
  <c r="AR52" i="4"/>
  <c r="AQ52" i="4"/>
  <c r="AO52" i="4"/>
  <c r="AN52" i="4"/>
  <c r="AL52" i="4"/>
  <c r="AK52" i="4"/>
  <c r="AI52" i="4"/>
  <c r="AH52" i="4"/>
  <c r="AF52" i="4"/>
  <c r="AE52" i="4"/>
  <c r="AC52" i="4"/>
  <c r="AB52" i="4"/>
  <c r="Z52" i="4"/>
  <c r="Y52" i="4"/>
  <c r="W52" i="4"/>
  <c r="V52" i="4"/>
  <c r="T52" i="4"/>
  <c r="S52" i="4"/>
  <c r="Q52" i="4"/>
  <c r="P52" i="4"/>
  <c r="N52" i="4"/>
  <c r="M52" i="4"/>
  <c r="K52" i="4"/>
  <c r="J52" i="4"/>
  <c r="AR51" i="4"/>
  <c r="AQ51" i="4"/>
  <c r="AO51" i="4"/>
  <c r="AN51" i="4"/>
  <c r="AL51" i="4"/>
  <c r="AK51" i="4"/>
  <c r="AI51" i="4"/>
  <c r="AH51" i="4"/>
  <c r="AF51" i="4"/>
  <c r="AE51" i="4"/>
  <c r="AC51" i="4"/>
  <c r="AB51" i="4"/>
  <c r="Z51" i="4"/>
  <c r="Y51" i="4"/>
  <c r="W51" i="4"/>
  <c r="V51" i="4"/>
  <c r="T51" i="4"/>
  <c r="S51" i="4"/>
  <c r="Q51" i="4"/>
  <c r="P51" i="4"/>
  <c r="N51" i="4"/>
  <c r="M51" i="4"/>
  <c r="K51" i="4"/>
  <c r="J51" i="4"/>
  <c r="AR50" i="4"/>
  <c r="AR90" i="4" s="1"/>
  <c r="AQ50" i="4"/>
  <c r="AQ90" i="4" s="1"/>
  <c r="AO50" i="4"/>
  <c r="AO90" i="4" s="1"/>
  <c r="AN50" i="4"/>
  <c r="AN90" i="4" s="1"/>
  <c r="AL50" i="4"/>
  <c r="AL90" i="4" s="1"/>
  <c r="AK50" i="4"/>
  <c r="AK90" i="4" s="1"/>
  <c r="AI50" i="4"/>
  <c r="AI90" i="4" s="1"/>
  <c r="AH50" i="4"/>
  <c r="AH90" i="4" s="1"/>
  <c r="AF50" i="4"/>
  <c r="AF90" i="4" s="1"/>
  <c r="AE50" i="4"/>
  <c r="AE90" i="4" s="1"/>
  <c r="AC50" i="4"/>
  <c r="AC90" i="4" s="1"/>
  <c r="AB50" i="4"/>
  <c r="AB90" i="4" s="1"/>
  <c r="Z50" i="4"/>
  <c r="Z90" i="4" s="1"/>
  <c r="Y50" i="4"/>
  <c r="Y90" i="4" s="1"/>
  <c r="W50" i="4"/>
  <c r="W90" i="4" s="1"/>
  <c r="V50" i="4"/>
  <c r="V90" i="4" s="1"/>
  <c r="T50" i="4"/>
  <c r="T90" i="4" s="1"/>
  <c r="S50" i="4"/>
  <c r="S90" i="4" s="1"/>
  <c r="Q50" i="4"/>
  <c r="Q90" i="4" s="1"/>
  <c r="P50" i="4"/>
  <c r="P90" i="4" s="1"/>
  <c r="N50" i="4"/>
  <c r="N90" i="4" s="1"/>
  <c r="M50" i="4"/>
  <c r="M90" i="4" s="1"/>
  <c r="K50" i="4"/>
  <c r="K90" i="4" s="1"/>
  <c r="J50" i="4"/>
  <c r="J90" i="4" s="1"/>
  <c r="AR49" i="4"/>
  <c r="AQ49" i="4"/>
  <c r="AO49" i="4"/>
  <c r="AN49" i="4"/>
  <c r="AL49" i="4"/>
  <c r="AK49" i="4"/>
  <c r="AI49" i="4"/>
  <c r="AH49" i="4"/>
  <c r="AF49" i="4"/>
  <c r="AE49" i="4"/>
  <c r="AC49" i="4"/>
  <c r="AB49" i="4"/>
  <c r="Z49" i="4"/>
  <c r="Y49" i="4"/>
  <c r="W49" i="4"/>
  <c r="V49" i="4"/>
  <c r="T49" i="4"/>
  <c r="S49" i="4"/>
  <c r="Q49" i="4"/>
  <c r="P49" i="4"/>
  <c r="N49" i="4"/>
  <c r="M49" i="4"/>
  <c r="K49" i="4"/>
  <c r="J49" i="4"/>
  <c r="AR48" i="4"/>
  <c r="AQ48" i="4"/>
  <c r="AO48" i="4"/>
  <c r="AN48" i="4"/>
  <c r="AL48" i="4"/>
  <c r="AK48" i="4"/>
  <c r="AI48" i="4"/>
  <c r="AH48" i="4"/>
  <c r="AF48" i="4"/>
  <c r="AE48" i="4"/>
  <c r="AC48" i="4"/>
  <c r="AB48" i="4"/>
  <c r="Z48" i="4"/>
  <c r="Y48" i="4"/>
  <c r="W48" i="4"/>
  <c r="V48" i="4"/>
  <c r="T48" i="4"/>
  <c r="S48" i="4"/>
  <c r="Q48" i="4"/>
  <c r="P48" i="4"/>
  <c r="N48" i="4"/>
  <c r="M48" i="4"/>
  <c r="K48" i="4"/>
  <c r="J48" i="4"/>
  <c r="AP47" i="4"/>
  <c r="AM47" i="4"/>
  <c r="AM46" i="4" s="1"/>
  <c r="AJ47" i="4"/>
  <c r="AJ46" i="4" s="1"/>
  <c r="AG47" i="4"/>
  <c r="AD47" i="4"/>
  <c r="AD46" i="4" s="1"/>
  <c r="AA47" i="4"/>
  <c r="AA46" i="4" s="1"/>
  <c r="X47" i="4"/>
  <c r="X46" i="4" s="1"/>
  <c r="U47" i="4"/>
  <c r="O47" i="4"/>
  <c r="O46" i="4" s="1"/>
  <c r="L47" i="4"/>
  <c r="I47" i="4"/>
  <c r="AR44" i="4"/>
  <c r="AQ44" i="4"/>
  <c r="AO44" i="4"/>
  <c r="AN44" i="4"/>
  <c r="AL44" i="4"/>
  <c r="AK44" i="4"/>
  <c r="AI44" i="4"/>
  <c r="AH44" i="4"/>
  <c r="AF44" i="4"/>
  <c r="AE44" i="4"/>
  <c r="AC44" i="4"/>
  <c r="AB44" i="4"/>
  <c r="Z44" i="4"/>
  <c r="Y44" i="4"/>
  <c r="W44" i="4"/>
  <c r="V44" i="4"/>
  <c r="T44" i="4"/>
  <c r="S44" i="4"/>
  <c r="Q44" i="4"/>
  <c r="P44" i="4"/>
  <c r="N44" i="4"/>
  <c r="M44" i="4"/>
  <c r="K44" i="4"/>
  <c r="J44" i="4"/>
  <c r="AR43" i="4"/>
  <c r="AQ43" i="4"/>
  <c r="AO43" i="4"/>
  <c r="AN43" i="4"/>
  <c r="AL43" i="4"/>
  <c r="AK43" i="4"/>
  <c r="AI43" i="4"/>
  <c r="AH43" i="4"/>
  <c r="AF43" i="4"/>
  <c r="AE43" i="4"/>
  <c r="AC43" i="4"/>
  <c r="AB43" i="4"/>
  <c r="Z43" i="4"/>
  <c r="Y43" i="4"/>
  <c r="W43" i="4"/>
  <c r="V43" i="4"/>
  <c r="T43" i="4"/>
  <c r="S43" i="4"/>
  <c r="Q43" i="4"/>
  <c r="P43" i="4"/>
  <c r="N43" i="4"/>
  <c r="M43" i="4"/>
  <c r="K43" i="4"/>
  <c r="J43" i="4"/>
  <c r="AR42" i="4"/>
  <c r="AQ42" i="4"/>
  <c r="AO42" i="4"/>
  <c r="AN42" i="4"/>
  <c r="AL42" i="4"/>
  <c r="AK42" i="4"/>
  <c r="AI42" i="4"/>
  <c r="AH42" i="4"/>
  <c r="AF42" i="4"/>
  <c r="AE42" i="4"/>
  <c r="AC42" i="4"/>
  <c r="AB42" i="4"/>
  <c r="Z42" i="4"/>
  <c r="Y42" i="4"/>
  <c r="W42" i="4"/>
  <c r="V42" i="4"/>
  <c r="T42" i="4"/>
  <c r="S42" i="4"/>
  <c r="Q42" i="4"/>
  <c r="P42" i="4"/>
  <c r="N42" i="4"/>
  <c r="M42" i="4"/>
  <c r="K42" i="4"/>
  <c r="J42" i="4"/>
  <c r="AR41" i="4"/>
  <c r="AQ41" i="4"/>
  <c r="AO41" i="4"/>
  <c r="AN41" i="4"/>
  <c r="AL41" i="4"/>
  <c r="AK41" i="4"/>
  <c r="AI41" i="4"/>
  <c r="AH41" i="4"/>
  <c r="AF41" i="4"/>
  <c r="AE41" i="4"/>
  <c r="AC41" i="4"/>
  <c r="AB41" i="4"/>
  <c r="Z41" i="4"/>
  <c r="Y41" i="4"/>
  <c r="W41" i="4"/>
  <c r="V41" i="4"/>
  <c r="T41" i="4"/>
  <c r="S41" i="4"/>
  <c r="Q41" i="4"/>
  <c r="P41" i="4"/>
  <c r="N41" i="4"/>
  <c r="M41" i="4"/>
  <c r="K41" i="4"/>
  <c r="J41" i="4"/>
  <c r="AR40" i="4"/>
  <c r="AQ40" i="4"/>
  <c r="AO40" i="4"/>
  <c r="AN40" i="4"/>
  <c r="AL40" i="4"/>
  <c r="AK40" i="4"/>
  <c r="AI40" i="4"/>
  <c r="AH40" i="4"/>
  <c r="AF40" i="4"/>
  <c r="AE40" i="4"/>
  <c r="AC40" i="4"/>
  <c r="AB40" i="4"/>
  <c r="Z40" i="4"/>
  <c r="Y40" i="4"/>
  <c r="W40" i="4"/>
  <c r="V40" i="4"/>
  <c r="T40" i="4"/>
  <c r="S40" i="4"/>
  <c r="Q40" i="4"/>
  <c r="P40" i="4"/>
  <c r="N40" i="4"/>
  <c r="M40" i="4"/>
  <c r="K40" i="4"/>
  <c r="J40" i="4"/>
  <c r="AP39" i="4"/>
  <c r="AM39" i="4"/>
  <c r="AJ39" i="4"/>
  <c r="AG39" i="4"/>
  <c r="AD39" i="4"/>
  <c r="AA39" i="4"/>
  <c r="X39" i="4"/>
  <c r="U39" i="4"/>
  <c r="O39" i="4"/>
  <c r="L39" i="4"/>
  <c r="I39" i="4"/>
  <c r="AR37" i="4"/>
  <c r="AQ37" i="4"/>
  <c r="AO37" i="4"/>
  <c r="AN37" i="4"/>
  <c r="AL37" i="4"/>
  <c r="AK37" i="4"/>
  <c r="AI37" i="4"/>
  <c r="AH37" i="4"/>
  <c r="AF37" i="4"/>
  <c r="AE37" i="4"/>
  <c r="AC37" i="4"/>
  <c r="AB37" i="4"/>
  <c r="Z37" i="4"/>
  <c r="Y37" i="4"/>
  <c r="W37" i="4"/>
  <c r="V37" i="4"/>
  <c r="T37" i="4"/>
  <c r="S37" i="4"/>
  <c r="Q37" i="4"/>
  <c r="P37" i="4"/>
  <c r="N37" i="4"/>
  <c r="M37" i="4"/>
  <c r="K37" i="4"/>
  <c r="J37" i="4"/>
  <c r="AR36" i="4"/>
  <c r="AQ36" i="4"/>
  <c r="AO36" i="4"/>
  <c r="AN36" i="4"/>
  <c r="AL36" i="4"/>
  <c r="AK36" i="4"/>
  <c r="AI36" i="4"/>
  <c r="AH36" i="4"/>
  <c r="AF36" i="4"/>
  <c r="AE36" i="4"/>
  <c r="AC36" i="4"/>
  <c r="AB36" i="4"/>
  <c r="Z36" i="4"/>
  <c r="Y36" i="4"/>
  <c r="W36" i="4"/>
  <c r="V36" i="4"/>
  <c r="T36" i="4"/>
  <c r="S36" i="4"/>
  <c r="Q36" i="4"/>
  <c r="P36" i="4"/>
  <c r="N36" i="4"/>
  <c r="M36" i="4"/>
  <c r="K36" i="4"/>
  <c r="J36" i="4"/>
  <c r="AR34" i="4"/>
  <c r="AQ34" i="4"/>
  <c r="AO34" i="4"/>
  <c r="AN34" i="4"/>
  <c r="AL34" i="4"/>
  <c r="AK34" i="4"/>
  <c r="AI34" i="4"/>
  <c r="AH34" i="4"/>
  <c r="AF34" i="4"/>
  <c r="AE34" i="4"/>
  <c r="AC34" i="4"/>
  <c r="AB34" i="4"/>
  <c r="Z34" i="4"/>
  <c r="Y34" i="4"/>
  <c r="W34" i="4"/>
  <c r="V34" i="4"/>
  <c r="T34" i="4"/>
  <c r="S34" i="4"/>
  <c r="Q34" i="4"/>
  <c r="P34" i="4"/>
  <c r="N34" i="4"/>
  <c r="M34" i="4"/>
  <c r="K34" i="4"/>
  <c r="J34" i="4"/>
  <c r="AR32" i="4"/>
  <c r="AQ32" i="4"/>
  <c r="AO32" i="4"/>
  <c r="AN32" i="4"/>
  <c r="AL32" i="4"/>
  <c r="AK32" i="4"/>
  <c r="AI32" i="4"/>
  <c r="AH32" i="4"/>
  <c r="AF32" i="4"/>
  <c r="AE32" i="4"/>
  <c r="AC32" i="4"/>
  <c r="AB32" i="4"/>
  <c r="Z32" i="4"/>
  <c r="Y32" i="4"/>
  <c r="W32" i="4"/>
  <c r="V32" i="4"/>
  <c r="T32" i="4"/>
  <c r="S32" i="4"/>
  <c r="Q32" i="4"/>
  <c r="P32" i="4"/>
  <c r="N32" i="4"/>
  <c r="M32" i="4"/>
  <c r="K32" i="4"/>
  <c r="J32" i="4"/>
  <c r="AR31" i="4"/>
  <c r="AQ31" i="4"/>
  <c r="AO31" i="4"/>
  <c r="AN31" i="4"/>
  <c r="AL31" i="4"/>
  <c r="AK31" i="4"/>
  <c r="AI31" i="4"/>
  <c r="AH31" i="4"/>
  <c r="AF31" i="4"/>
  <c r="AE31" i="4"/>
  <c r="AC31" i="4"/>
  <c r="AB31" i="4"/>
  <c r="Z31" i="4"/>
  <c r="Y31" i="4"/>
  <c r="W31" i="4"/>
  <c r="V31" i="4"/>
  <c r="T31" i="4"/>
  <c r="S31" i="4"/>
  <c r="Q31" i="4"/>
  <c r="P31" i="4"/>
  <c r="N31" i="4"/>
  <c r="M31" i="4"/>
  <c r="K31" i="4"/>
  <c r="J31" i="4"/>
  <c r="AP28" i="4"/>
  <c r="AM28" i="4"/>
  <c r="AJ28" i="4"/>
  <c r="AG28" i="4"/>
  <c r="AD28" i="4"/>
  <c r="AA28" i="4"/>
  <c r="X28" i="4"/>
  <c r="U28" i="4"/>
  <c r="O28" i="4"/>
  <c r="L28" i="4"/>
  <c r="I28" i="4"/>
  <c r="AR25" i="4"/>
  <c r="AQ25" i="4"/>
  <c r="AO25" i="4"/>
  <c r="AN25" i="4"/>
  <c r="AL25" i="4"/>
  <c r="AK25" i="4"/>
  <c r="AI25" i="4"/>
  <c r="AH25" i="4"/>
  <c r="AF25" i="4"/>
  <c r="AE25" i="4"/>
  <c r="AC25" i="4"/>
  <c r="AB25" i="4"/>
  <c r="Z25" i="4"/>
  <c r="Y25" i="4"/>
  <c r="W25" i="4"/>
  <c r="V25" i="4"/>
  <c r="T25" i="4"/>
  <c r="S25" i="4"/>
  <c r="Q25" i="4"/>
  <c r="P25" i="4"/>
  <c r="N25" i="4"/>
  <c r="M25" i="4"/>
  <c r="K25" i="4"/>
  <c r="J25" i="4"/>
  <c r="AR24" i="4"/>
  <c r="AQ24" i="4"/>
  <c r="AO24" i="4"/>
  <c r="AN24" i="4"/>
  <c r="AL24" i="4"/>
  <c r="AK24" i="4"/>
  <c r="AI24" i="4"/>
  <c r="AH24" i="4"/>
  <c r="AF24" i="4"/>
  <c r="AE24" i="4"/>
  <c r="AC24" i="4"/>
  <c r="AB24" i="4"/>
  <c r="Z24" i="4"/>
  <c r="Y24" i="4"/>
  <c r="W24" i="4"/>
  <c r="V24" i="4"/>
  <c r="T24" i="4"/>
  <c r="S24" i="4"/>
  <c r="Q24" i="4"/>
  <c r="P24" i="4"/>
  <c r="N24" i="4"/>
  <c r="M24" i="4"/>
  <c r="K24" i="4"/>
  <c r="J24" i="4"/>
  <c r="AR23" i="4"/>
  <c r="AQ23" i="4"/>
  <c r="AO23" i="4"/>
  <c r="AN23" i="4"/>
  <c r="AL23" i="4"/>
  <c r="AK23" i="4"/>
  <c r="AI23" i="4"/>
  <c r="AH23" i="4"/>
  <c r="AF23" i="4"/>
  <c r="AE23" i="4"/>
  <c r="AC23" i="4"/>
  <c r="AB23" i="4"/>
  <c r="Z23" i="4"/>
  <c r="Y23" i="4"/>
  <c r="W23" i="4"/>
  <c r="V23" i="4"/>
  <c r="T23" i="4"/>
  <c r="S23" i="4"/>
  <c r="Q23" i="4"/>
  <c r="P23" i="4"/>
  <c r="N23" i="4"/>
  <c r="M23" i="4"/>
  <c r="K23" i="4"/>
  <c r="J23" i="4"/>
  <c r="AR22" i="4"/>
  <c r="AQ22" i="4"/>
  <c r="AO22" i="4"/>
  <c r="AN22" i="4"/>
  <c r="AL22" i="4"/>
  <c r="AK22" i="4"/>
  <c r="AI22" i="4"/>
  <c r="AH22" i="4"/>
  <c r="AF22" i="4"/>
  <c r="AE22" i="4"/>
  <c r="AC22" i="4"/>
  <c r="AB22" i="4"/>
  <c r="Z22" i="4"/>
  <c r="Y22" i="4"/>
  <c r="W22" i="4"/>
  <c r="V22" i="4"/>
  <c r="T22" i="4"/>
  <c r="S22" i="4"/>
  <c r="Q22" i="4"/>
  <c r="P22" i="4"/>
  <c r="N22" i="4"/>
  <c r="M22" i="4"/>
  <c r="K22" i="4"/>
  <c r="J22" i="4"/>
  <c r="AR21" i="4"/>
  <c r="AQ21" i="4"/>
  <c r="AO21" i="4"/>
  <c r="AN21" i="4"/>
  <c r="AL21" i="4"/>
  <c r="AK21" i="4"/>
  <c r="AI21" i="4"/>
  <c r="AH21" i="4"/>
  <c r="AF21" i="4"/>
  <c r="AE21" i="4"/>
  <c r="AC21" i="4"/>
  <c r="AB21" i="4"/>
  <c r="Z21" i="4"/>
  <c r="Y21" i="4"/>
  <c r="W21" i="4"/>
  <c r="V21" i="4"/>
  <c r="T21" i="4"/>
  <c r="S21" i="4"/>
  <c r="Q21" i="4"/>
  <c r="P21" i="4"/>
  <c r="N21" i="4"/>
  <c r="M21" i="4"/>
  <c r="K21" i="4"/>
  <c r="J21" i="4"/>
  <c r="AR20" i="4"/>
  <c r="AQ20" i="4"/>
  <c r="AO20" i="4"/>
  <c r="AN20" i="4"/>
  <c r="AL20" i="4"/>
  <c r="AK20" i="4"/>
  <c r="AI20" i="4"/>
  <c r="AH20" i="4"/>
  <c r="AF20" i="4"/>
  <c r="AE20" i="4"/>
  <c r="AC20" i="4"/>
  <c r="AB20" i="4"/>
  <c r="Z20" i="4"/>
  <c r="Y20" i="4"/>
  <c r="W20" i="4"/>
  <c r="V20" i="4"/>
  <c r="T20" i="4"/>
  <c r="S20" i="4"/>
  <c r="Q20" i="4"/>
  <c r="P20" i="4"/>
  <c r="N20" i="4"/>
  <c r="M20" i="4"/>
  <c r="K20" i="4"/>
  <c r="J20" i="4"/>
  <c r="AR16" i="4"/>
  <c r="AQ16" i="4"/>
  <c r="AO16" i="4"/>
  <c r="AN16" i="4"/>
  <c r="AL16" i="4"/>
  <c r="AK16" i="4"/>
  <c r="AI16" i="4"/>
  <c r="AH16" i="4"/>
  <c r="AF16" i="4"/>
  <c r="AE16" i="4"/>
  <c r="AC16" i="4"/>
  <c r="AB16" i="4"/>
  <c r="Z16" i="4"/>
  <c r="Y16" i="4"/>
  <c r="W16" i="4"/>
  <c r="V16" i="4"/>
  <c r="T16" i="4"/>
  <c r="S16" i="4"/>
  <c r="Q16" i="4"/>
  <c r="P16" i="4"/>
  <c r="N16" i="4"/>
  <c r="M16" i="4"/>
  <c r="K16" i="4"/>
  <c r="J16" i="4"/>
  <c r="AP15" i="4"/>
  <c r="AM15" i="4"/>
  <c r="AJ15" i="4"/>
  <c r="AG15" i="4"/>
  <c r="AD15" i="4"/>
  <c r="AA15" i="4"/>
  <c r="X15" i="4"/>
  <c r="U15" i="4"/>
  <c r="O15" i="4"/>
  <c r="L15" i="4"/>
  <c r="I15" i="4"/>
  <c r="AR13" i="4"/>
  <c r="AQ13" i="4"/>
  <c r="AO13" i="4"/>
  <c r="AN13" i="4"/>
  <c r="AL13" i="4"/>
  <c r="AK13" i="4"/>
  <c r="AI13" i="4"/>
  <c r="AH13" i="4"/>
  <c r="AF13" i="4"/>
  <c r="AE13" i="4"/>
  <c r="AC13" i="4"/>
  <c r="AB13" i="4"/>
  <c r="Z13" i="4"/>
  <c r="Y13" i="4"/>
  <c r="W13" i="4"/>
  <c r="V13" i="4"/>
  <c r="T13" i="4"/>
  <c r="S13" i="4"/>
  <c r="Q13" i="4"/>
  <c r="P13" i="4"/>
  <c r="N13" i="4"/>
  <c r="M13" i="4"/>
  <c r="K13" i="4"/>
  <c r="J13" i="4"/>
  <c r="AR12" i="4"/>
  <c r="AQ12" i="4"/>
  <c r="AO12" i="4"/>
  <c r="AN12" i="4"/>
  <c r="AL12" i="4"/>
  <c r="AK12" i="4"/>
  <c r="AI12" i="4"/>
  <c r="AH12" i="4"/>
  <c r="AF12" i="4"/>
  <c r="AE12" i="4"/>
  <c r="AC12" i="4"/>
  <c r="AB12" i="4"/>
  <c r="Z12" i="4"/>
  <c r="Y12" i="4"/>
  <c r="W12" i="4"/>
  <c r="V12" i="4"/>
  <c r="T12" i="4"/>
  <c r="S12" i="4"/>
  <c r="Q12" i="4"/>
  <c r="P12" i="4"/>
  <c r="N12" i="4"/>
  <c r="M12" i="4"/>
  <c r="K12" i="4"/>
  <c r="J12" i="4"/>
  <c r="AR11" i="4"/>
  <c r="AQ11" i="4"/>
  <c r="AO11" i="4"/>
  <c r="AN11" i="4"/>
  <c r="AL11" i="4"/>
  <c r="AK11" i="4"/>
  <c r="AI11" i="4"/>
  <c r="AH11" i="4"/>
  <c r="AF11" i="4"/>
  <c r="AE11" i="4"/>
  <c r="AC11" i="4"/>
  <c r="AB11" i="4"/>
  <c r="Z11" i="4"/>
  <c r="Y11" i="4"/>
  <c r="W11" i="4"/>
  <c r="V11" i="4"/>
  <c r="T11" i="4"/>
  <c r="S11" i="4"/>
  <c r="Q11" i="4"/>
  <c r="P11" i="4"/>
  <c r="N11" i="4"/>
  <c r="M11" i="4"/>
  <c r="K11" i="4"/>
  <c r="J11" i="4"/>
  <c r="AR10" i="4"/>
  <c r="AQ10" i="4"/>
  <c r="AO10" i="4"/>
  <c r="AN10" i="4"/>
  <c r="AL10" i="4"/>
  <c r="AK10" i="4"/>
  <c r="AI10" i="4"/>
  <c r="AH10" i="4"/>
  <c r="AF10" i="4"/>
  <c r="AE10" i="4"/>
  <c r="AC10" i="4"/>
  <c r="AB10" i="4"/>
  <c r="Z10" i="4"/>
  <c r="Y10" i="4"/>
  <c r="W10" i="4"/>
  <c r="V10" i="4"/>
  <c r="T10" i="4"/>
  <c r="S10" i="4"/>
  <c r="Q10" i="4"/>
  <c r="P10" i="4"/>
  <c r="N10" i="4"/>
  <c r="M10" i="4"/>
  <c r="K10" i="4"/>
  <c r="J10" i="4"/>
  <c r="AR8" i="4"/>
  <c r="AQ8" i="4"/>
  <c r="AO8" i="4"/>
  <c r="AN8" i="4"/>
  <c r="AL8" i="4"/>
  <c r="AK8" i="4"/>
  <c r="AI8" i="4"/>
  <c r="AH8" i="4"/>
  <c r="AF8" i="4"/>
  <c r="AE8" i="4"/>
  <c r="AC8" i="4"/>
  <c r="AB8" i="4"/>
  <c r="Z8" i="4"/>
  <c r="Y8" i="4"/>
  <c r="W8" i="4"/>
  <c r="V8" i="4"/>
  <c r="T8" i="4"/>
  <c r="S8" i="4"/>
  <c r="Q8" i="4"/>
  <c r="P8" i="4"/>
  <c r="N8" i="4"/>
  <c r="M8" i="4"/>
  <c r="K8" i="4"/>
  <c r="J8" i="4"/>
  <c r="AR7" i="4"/>
  <c r="AQ7" i="4"/>
  <c r="AO7" i="4"/>
  <c r="AN7" i="4"/>
  <c r="AL7" i="4"/>
  <c r="AK7" i="4"/>
  <c r="AI7" i="4"/>
  <c r="AH7" i="4"/>
  <c r="AF7" i="4"/>
  <c r="AE7" i="4"/>
  <c r="AC7" i="4"/>
  <c r="AB7" i="4"/>
  <c r="Z7" i="4"/>
  <c r="Y7" i="4"/>
  <c r="W7" i="4"/>
  <c r="V7" i="4"/>
  <c r="T7" i="4"/>
  <c r="S7" i="4"/>
  <c r="Q7" i="4"/>
  <c r="P7" i="4"/>
  <c r="N7" i="4"/>
  <c r="M7" i="4"/>
  <c r="K7" i="4"/>
  <c r="J7" i="4"/>
  <c r="AR6" i="4"/>
  <c r="AQ6" i="4"/>
  <c r="AO6" i="4"/>
  <c r="AN6" i="4"/>
  <c r="AL6" i="4"/>
  <c r="AK6" i="4"/>
  <c r="AI6" i="4"/>
  <c r="AH6" i="4"/>
  <c r="AF6" i="4"/>
  <c r="AE6" i="4"/>
  <c r="AC6" i="4"/>
  <c r="AB6" i="4"/>
  <c r="Z6" i="4"/>
  <c r="Y6" i="4"/>
  <c r="W6" i="4"/>
  <c r="V6" i="4"/>
  <c r="T6" i="4"/>
  <c r="S6" i="4"/>
  <c r="Q6" i="4"/>
  <c r="P6" i="4"/>
  <c r="N6" i="4"/>
  <c r="M6" i="4"/>
  <c r="K6" i="4"/>
  <c r="J6" i="4"/>
  <c r="AR5" i="4"/>
  <c r="AQ5" i="4"/>
  <c r="AO5" i="4"/>
  <c r="AN5" i="4"/>
  <c r="AL5" i="4"/>
  <c r="AK5" i="4"/>
  <c r="AI5" i="4"/>
  <c r="AH5" i="4"/>
  <c r="AF5" i="4"/>
  <c r="AE5" i="4"/>
  <c r="AC5" i="4"/>
  <c r="AB5" i="4"/>
  <c r="Z5" i="4"/>
  <c r="Y5" i="4"/>
  <c r="W5" i="4"/>
  <c r="V5" i="4"/>
  <c r="T5" i="4"/>
  <c r="S5" i="4"/>
  <c r="Q5" i="4"/>
  <c r="P5" i="4"/>
  <c r="N5" i="4"/>
  <c r="M5" i="4"/>
  <c r="K5" i="4"/>
  <c r="J5" i="4"/>
  <c r="AP4" i="4"/>
  <c r="AM4" i="4"/>
  <c r="AJ4" i="4"/>
  <c r="AG4" i="4"/>
  <c r="AD4" i="4"/>
  <c r="AA4" i="4"/>
  <c r="X4" i="4"/>
  <c r="U4" i="4"/>
  <c r="O4" i="4"/>
  <c r="L4" i="4"/>
  <c r="I4" i="4"/>
  <c r="H47" i="4"/>
  <c r="H46" i="4" s="1"/>
  <c r="G47" i="4"/>
  <c r="G46" i="4" s="1"/>
  <c r="F47" i="4"/>
  <c r="F46" i="4" s="1"/>
  <c r="E47" i="4"/>
  <c r="E46" i="4" s="1"/>
  <c r="H39" i="4"/>
  <c r="G39" i="4"/>
  <c r="F39" i="4"/>
  <c r="E39" i="4"/>
  <c r="H28" i="4"/>
  <c r="T28" i="4" s="1"/>
  <c r="G28" i="4"/>
  <c r="F28" i="4"/>
  <c r="E28" i="4"/>
  <c r="H15" i="4"/>
  <c r="G15" i="4"/>
  <c r="F15" i="4"/>
  <c r="E15" i="4"/>
  <c r="H4" i="4"/>
  <c r="G4" i="4"/>
  <c r="F4" i="4"/>
  <c r="E4" i="4"/>
  <c r="A10" i="10" l="1"/>
  <c r="A11" i="10" s="1"/>
  <c r="A12" i="10" s="1"/>
  <c r="A13" i="10" s="1"/>
  <c r="A14" i="10" s="1"/>
  <c r="A15" i="10" s="1"/>
  <c r="A16" i="10" s="1"/>
  <c r="A17" i="10" s="1"/>
  <c r="A18" i="10" s="1"/>
  <c r="A19" i="10" s="1"/>
  <c r="A20" i="10" s="1"/>
  <c r="A21" i="10" s="1"/>
  <c r="A22" i="10" s="1"/>
  <c r="A23" i="10" s="1"/>
  <c r="A24" i="10" s="1"/>
  <c r="A25" i="10" s="1"/>
  <c r="A26" i="10" s="1"/>
  <c r="A27" i="10" s="1"/>
  <c r="A28" i="10" s="1"/>
  <c r="A29" i="10" s="1"/>
  <c r="A35" i="10" s="1"/>
  <c r="A30" i="10" s="1"/>
  <c r="A31" i="10" s="1"/>
  <c r="A32" i="10" s="1"/>
  <c r="A33" i="10" s="1"/>
  <c r="A34" i="10" s="1"/>
  <c r="A36" i="10" s="1"/>
  <c r="A14" i="18"/>
  <c r="O64" i="11"/>
  <c r="AY3" i="10"/>
  <c r="AU36" i="10"/>
  <c r="P36" i="10"/>
  <c r="L36" i="10"/>
  <c r="U3" i="27"/>
  <c r="AV3" i="10"/>
  <c r="AW3" i="10"/>
  <c r="N28" i="4"/>
  <c r="AQ28" i="4"/>
  <c r="O61" i="11"/>
  <c r="O75" i="11"/>
  <c r="M15" i="4"/>
  <c r="AI28" i="4"/>
  <c r="T4" i="4"/>
  <c r="I64" i="11"/>
  <c r="M68" i="11"/>
  <c r="K37" i="11"/>
  <c r="I61" i="11"/>
  <c r="M64" i="11"/>
  <c r="I75" i="11"/>
  <c r="G64" i="11"/>
  <c r="O55" i="11"/>
  <c r="M61" i="11"/>
  <c r="O71" i="11"/>
  <c r="AQ15" i="4"/>
  <c r="S39" i="4"/>
  <c r="AR39" i="4"/>
  <c r="G27" i="4"/>
  <c r="G54" i="4" s="1"/>
  <c r="AL15" i="4"/>
  <c r="AJ27" i="4"/>
  <c r="AJ54" i="4" s="1"/>
  <c r="Y39" i="4"/>
  <c r="AI47" i="4"/>
  <c r="AO4" i="4"/>
  <c r="P28" i="4"/>
  <c r="AN4" i="4"/>
  <c r="Q39" i="4"/>
  <c r="AC15" i="4"/>
  <c r="W4" i="4"/>
  <c r="Q28" i="4"/>
  <c r="AN28" i="4"/>
  <c r="AB39" i="4"/>
  <c r="X3" i="4"/>
  <c r="AN15" i="4"/>
  <c r="AL28" i="4"/>
  <c r="T47" i="4"/>
  <c r="O27" i="4"/>
  <c r="O54" i="4" s="1"/>
  <c r="S28" i="4"/>
  <c r="W47" i="4"/>
  <c r="AB4" i="4"/>
  <c r="AD3" i="4"/>
  <c r="K28" i="4"/>
  <c r="K39" i="4"/>
  <c r="K47" i="4"/>
  <c r="AE47" i="4"/>
  <c r="AA3" i="4"/>
  <c r="AA27" i="4"/>
  <c r="AA54" i="4" s="1"/>
  <c r="K4" i="4"/>
  <c r="AE4" i="4"/>
  <c r="N15" i="4"/>
  <c r="AK15" i="4"/>
  <c r="AC28" i="4"/>
  <c r="P47" i="4"/>
  <c r="AI4" i="4"/>
  <c r="Q15" i="4"/>
  <c r="AE28" i="4"/>
  <c r="AM27" i="4"/>
  <c r="AN47" i="4"/>
  <c r="K68" i="11"/>
  <c r="O68" i="11"/>
  <c r="I68" i="11"/>
  <c r="AP80" i="4"/>
  <c r="AP65" i="4"/>
  <c r="AP72" i="4"/>
  <c r="L76" i="11"/>
  <c r="G26" i="11"/>
  <c r="M26" i="11"/>
  <c r="G37" i="11"/>
  <c r="E3" i="11"/>
  <c r="I37" i="11"/>
  <c r="I3" i="11"/>
  <c r="I14" i="11"/>
  <c r="E25" i="11"/>
  <c r="E51" i="11" s="1"/>
  <c r="M44" i="11"/>
  <c r="O43" i="11"/>
  <c r="E76" i="11"/>
  <c r="O4" i="11"/>
  <c r="E69" i="11"/>
  <c r="N76" i="11"/>
  <c r="L69" i="11"/>
  <c r="G14" i="11"/>
  <c r="G43" i="11"/>
  <c r="E62" i="11"/>
  <c r="O44" i="11"/>
  <c r="M4" i="11"/>
  <c r="M3" i="11"/>
  <c r="O37" i="11"/>
  <c r="G44" i="11"/>
  <c r="N69" i="11"/>
  <c r="O14" i="11"/>
  <c r="I43" i="11"/>
  <c r="I44" i="11"/>
  <c r="L62" i="11"/>
  <c r="G4" i="11"/>
  <c r="K44" i="11"/>
  <c r="M37" i="11"/>
  <c r="K4" i="11"/>
  <c r="O26" i="11"/>
  <c r="K43" i="11"/>
  <c r="M43" i="11"/>
  <c r="K14" i="11"/>
  <c r="I26" i="11"/>
  <c r="M14" i="11"/>
  <c r="K26" i="11"/>
  <c r="N62" i="11"/>
  <c r="I4" i="11"/>
  <c r="F36" i="5"/>
  <c r="M36" i="10"/>
  <c r="I36" i="10"/>
  <c r="O36" i="10"/>
  <c r="J36" i="10"/>
  <c r="R36" i="10"/>
  <c r="S36" i="10"/>
  <c r="P15" i="4"/>
  <c r="T15" i="4"/>
  <c r="W15" i="4"/>
  <c r="K15" i="4"/>
  <c r="AB46" i="4"/>
  <c r="AC46" i="4"/>
  <c r="AM3" i="4"/>
  <c r="AO15" i="4"/>
  <c r="AP27" i="4"/>
  <c r="AF28" i="4"/>
  <c r="J39" i="4"/>
  <c r="AO39" i="4"/>
  <c r="AE46" i="4"/>
  <c r="Z4" i="4"/>
  <c r="AQ4" i="4"/>
  <c r="AE15" i="4"/>
  <c r="W28" i="4"/>
  <c r="AC39" i="4"/>
  <c r="Y47" i="4"/>
  <c r="AO47" i="4"/>
  <c r="AQ39" i="4"/>
  <c r="O3" i="4"/>
  <c r="AR4" i="4"/>
  <c r="AF15" i="4"/>
  <c r="I27" i="4"/>
  <c r="M28" i="4"/>
  <c r="V28" i="4"/>
  <c r="AK28" i="4"/>
  <c r="AE39" i="4"/>
  <c r="Q46" i="4"/>
  <c r="Z47" i="4"/>
  <c r="AQ47" i="4"/>
  <c r="Y4" i="4"/>
  <c r="Q4" i="4"/>
  <c r="S15" i="4"/>
  <c r="AI15" i="4"/>
  <c r="AG27" i="4"/>
  <c r="AI39" i="4"/>
  <c r="U46" i="4"/>
  <c r="Y46" i="4" s="1"/>
  <c r="AB47" i="4"/>
  <c r="AR47" i="4"/>
  <c r="Z39" i="4"/>
  <c r="F3" i="4"/>
  <c r="U3" i="4"/>
  <c r="S4" i="4"/>
  <c r="L27" i="4"/>
  <c r="AO28" i="4"/>
  <c r="T39" i="4"/>
  <c r="AH39" i="4"/>
  <c r="Q47" i="4"/>
  <c r="W39" i="4"/>
  <c r="AN39" i="4"/>
  <c r="S47" i="4"/>
  <c r="AL46" i="4"/>
  <c r="AN46" i="4"/>
  <c r="I3" i="4"/>
  <c r="AG3" i="4"/>
  <c r="M4" i="4"/>
  <c r="AC4" i="4"/>
  <c r="AK4" i="4"/>
  <c r="Y15" i="4"/>
  <c r="U27" i="4"/>
  <c r="Y28" i="4"/>
  <c r="M39" i="4"/>
  <c r="AK39" i="4"/>
  <c r="I46" i="4"/>
  <c r="AG46" i="4"/>
  <c r="AK46" i="4" s="1"/>
  <c r="AO46" i="4"/>
  <c r="M47" i="4"/>
  <c r="AC47" i="4"/>
  <c r="AK47" i="4"/>
  <c r="AP3" i="4"/>
  <c r="N4" i="4"/>
  <c r="V4" i="4"/>
  <c r="AL4" i="4"/>
  <c r="J15" i="4"/>
  <c r="Z15" i="4"/>
  <c r="AH15" i="4"/>
  <c r="AD27" i="4"/>
  <c r="J28" i="4"/>
  <c r="Z28" i="4"/>
  <c r="AH28" i="4"/>
  <c r="N39" i="4"/>
  <c r="V39" i="4"/>
  <c r="AL39" i="4"/>
  <c r="AP46" i="4"/>
  <c r="N47" i="4"/>
  <c r="V47" i="4"/>
  <c r="AL47" i="4"/>
  <c r="L3" i="4"/>
  <c r="AJ3" i="4"/>
  <c r="P4" i="4"/>
  <c r="AF4" i="4"/>
  <c r="AB15" i="4"/>
  <c r="AR15" i="4"/>
  <c r="X27" i="4"/>
  <c r="AB28" i="4"/>
  <c r="AR28" i="4"/>
  <c r="P39" i="4"/>
  <c r="AF39" i="4"/>
  <c r="L46" i="4"/>
  <c r="AF47" i="4"/>
  <c r="AH4" i="4"/>
  <c r="V15" i="4"/>
  <c r="J47" i="4"/>
  <c r="AH47" i="4"/>
  <c r="J4" i="4"/>
  <c r="H27" i="4"/>
  <c r="E27" i="4"/>
  <c r="E54" i="4" s="1"/>
  <c r="F27" i="4"/>
  <c r="F54" i="4" s="1"/>
  <c r="G3" i="4"/>
  <c r="H3" i="4"/>
  <c r="E3" i="4"/>
  <c r="V3" i="27" l="1"/>
  <c r="U36" i="27"/>
  <c r="AY36" i="10"/>
  <c r="AW36" i="10"/>
  <c r="AV36" i="10"/>
  <c r="BI36" i="10"/>
  <c r="I54" i="4"/>
  <c r="I55" i="4" s="1"/>
  <c r="AP54" i="4"/>
  <c r="AP55" i="4" s="1"/>
  <c r="AL27" i="4"/>
  <c r="AJ55" i="4"/>
  <c r="P27" i="4"/>
  <c r="Q54" i="4"/>
  <c r="F55" i="4"/>
  <c r="AN27" i="4"/>
  <c r="AK27" i="4"/>
  <c r="AM54" i="4"/>
  <c r="AM55" i="4" s="1"/>
  <c r="AA55" i="4"/>
  <c r="AQ27" i="4"/>
  <c r="G55" i="4"/>
  <c r="E52" i="11"/>
  <c r="E55" i="4"/>
  <c r="Z3" i="4"/>
  <c r="Q3" i="4"/>
  <c r="O55" i="4"/>
  <c r="Y3" i="4"/>
  <c r="AC3" i="4"/>
  <c r="AE3" i="4"/>
  <c r="V46" i="4"/>
  <c r="S27" i="4"/>
  <c r="L54" i="4"/>
  <c r="P54" i="4" s="1"/>
  <c r="AO3" i="4"/>
  <c r="AB3" i="4"/>
  <c r="M27" i="4"/>
  <c r="Q27" i="4"/>
  <c r="AC54" i="4"/>
  <c r="AO27" i="4"/>
  <c r="AC27" i="4"/>
  <c r="W3" i="4"/>
  <c r="K3" i="11"/>
  <c r="G3" i="11"/>
  <c r="O3" i="11"/>
  <c r="K51" i="11"/>
  <c r="K25" i="11"/>
  <c r="M25" i="11"/>
  <c r="I51" i="11"/>
  <c r="G25" i="11"/>
  <c r="I25" i="11"/>
  <c r="O25" i="11"/>
  <c r="M51" i="11"/>
  <c r="N27" i="4"/>
  <c r="P3" i="4"/>
  <c r="S54" i="4"/>
  <c r="K27" i="4"/>
  <c r="J27" i="4"/>
  <c r="H54" i="4"/>
  <c r="H55" i="4" s="1"/>
  <c r="T27" i="4"/>
  <c r="AN3" i="4"/>
  <c r="AG54" i="4"/>
  <c r="AK54" i="4" s="1"/>
  <c r="K46" i="4"/>
  <c r="J46" i="4"/>
  <c r="U54" i="4"/>
  <c r="U55" i="4" s="1"/>
  <c r="W27" i="4"/>
  <c r="V27" i="4"/>
  <c r="N46" i="4"/>
  <c r="M46" i="4"/>
  <c r="P46" i="4"/>
  <c r="T3" i="4"/>
  <c r="S3" i="4"/>
  <c r="AF3" i="4"/>
  <c r="Z46" i="4"/>
  <c r="W46" i="4"/>
  <c r="K3" i="4"/>
  <c r="J3" i="4"/>
  <c r="AL3" i="4"/>
  <c r="AK3" i="4"/>
  <c r="N3" i="4"/>
  <c r="M3" i="4"/>
  <c r="AR46" i="4"/>
  <c r="AQ46" i="4"/>
  <c r="AI3" i="4"/>
  <c r="AH3" i="4"/>
  <c r="AI27" i="4"/>
  <c r="AI46" i="4"/>
  <c r="AH46" i="4"/>
  <c r="V3" i="4"/>
  <c r="Z27" i="4"/>
  <c r="Y27" i="4"/>
  <c r="X54" i="4"/>
  <c r="AL54" i="4" s="1"/>
  <c r="AB27" i="4"/>
  <c r="AF46" i="4"/>
  <c r="T46" i="4"/>
  <c r="S46" i="4"/>
  <c r="AD54" i="4"/>
  <c r="AH27" i="4"/>
  <c r="AF27" i="4"/>
  <c r="AE27" i="4"/>
  <c r="AR27" i="4"/>
  <c r="AR3" i="4"/>
  <c r="AQ3" i="4"/>
  <c r="K54" i="4" l="1"/>
  <c r="W3" i="27"/>
  <c r="W36" i="27" s="1"/>
  <c r="V36" i="27"/>
  <c r="AQ54" i="4"/>
  <c r="AR54" i="4"/>
  <c r="AO54" i="4"/>
  <c r="AN54" i="4"/>
  <c r="J54" i="4"/>
  <c r="L55" i="4"/>
  <c r="AG55" i="4"/>
  <c r="AD55" i="4"/>
  <c r="X55" i="4"/>
  <c r="M54" i="4"/>
  <c r="N54" i="4"/>
  <c r="T54" i="4"/>
  <c r="O51" i="11"/>
  <c r="G51" i="11"/>
  <c r="AE54" i="4"/>
  <c r="AF54" i="4"/>
  <c r="AI54" i="4"/>
  <c r="AH54" i="4"/>
  <c r="Z54" i="4"/>
  <c r="Y54" i="4"/>
  <c r="AB54" i="4"/>
  <c r="W54" i="4"/>
  <c r="V54" i="4"/>
  <c r="BE4" i="10" l="1"/>
  <c r="CM3" i="10"/>
  <c r="CL3" i="10"/>
  <c r="CJ3" i="10"/>
  <c r="CI3" i="10"/>
  <c r="CG3" i="10"/>
  <c r="CD3" i="10"/>
  <c r="CC3" i="10"/>
  <c r="CA3" i="10"/>
  <c r="BZ3" i="10"/>
  <c r="BX3" i="10"/>
  <c r="BW3" i="10"/>
  <c r="BU3" i="10"/>
  <c r="BT3" i="10"/>
  <c r="BR3" i="10"/>
  <c r="BQ3" i="10"/>
  <c r="BO3" i="10"/>
  <c r="BN3" i="10"/>
  <c r="BL3" i="10"/>
  <c r="BK3" i="10"/>
  <c r="BI3" i="10"/>
  <c r="BH3" i="10"/>
  <c r="BF3" i="10"/>
  <c r="BE3" i="10"/>
  <c r="X3" i="27"/>
  <c r="AB3" i="27"/>
  <c r="BO30" i="10"/>
  <c r="BO29" i="10"/>
  <c r="BO21" i="10"/>
  <c r="BQ10" i="10"/>
  <c r="BQ5" i="10"/>
  <c r="BR33" i="10"/>
  <c r="BQ33" i="10"/>
  <c r="BR34" i="10"/>
  <c r="BR32" i="10"/>
  <c r="BR31" i="10"/>
  <c r="BQ31" i="10"/>
  <c r="BR9" i="10"/>
  <c r="BQ9" i="10"/>
  <c r="CA7" i="10"/>
  <c r="BZ7" i="10"/>
  <c r="CA6" i="10"/>
  <c r="BZ6" i="10"/>
  <c r="CA5" i="10"/>
  <c r="BZ5" i="10"/>
  <c r="CA4" i="10"/>
  <c r="BZ4" i="10"/>
  <c r="BX7" i="10"/>
  <c r="BW7" i="10"/>
  <c r="BX6" i="10"/>
  <c r="BW6" i="10"/>
  <c r="BX5" i="10"/>
  <c r="BW5" i="10"/>
  <c r="BX4" i="10"/>
  <c r="BW4" i="10"/>
  <c r="BU7" i="10"/>
  <c r="BT7" i="10"/>
  <c r="BU6" i="10"/>
  <c r="BT6" i="10"/>
  <c r="BU5" i="10"/>
  <c r="BT5" i="10"/>
  <c r="BU4" i="10"/>
  <c r="BT4" i="10"/>
  <c r="BR30" i="10"/>
  <c r="BR35" i="10"/>
  <c r="BQ35" i="10"/>
  <c r="BR29" i="10"/>
  <c r="BQ29" i="10"/>
  <c r="BR28" i="10"/>
  <c r="BQ28" i="10"/>
  <c r="BR27" i="10"/>
  <c r="BQ27" i="10"/>
  <c r="BR26" i="10"/>
  <c r="BQ26" i="10"/>
  <c r="BR25" i="10"/>
  <c r="BQ25" i="10"/>
  <c r="BR24" i="10"/>
  <c r="BQ24" i="10"/>
  <c r="BR23" i="10"/>
  <c r="BR22" i="10"/>
  <c r="BQ22" i="10"/>
  <c r="BR21" i="10"/>
  <c r="BR20" i="10"/>
  <c r="BQ20" i="10"/>
  <c r="BR19" i="10"/>
  <c r="BQ19" i="10"/>
  <c r="BR18" i="10"/>
  <c r="BQ18" i="10"/>
  <c r="BR17" i="10"/>
  <c r="BQ17" i="10"/>
  <c r="BR16" i="10"/>
  <c r="BQ16" i="10"/>
  <c r="BR15" i="10"/>
  <c r="BR14" i="10"/>
  <c r="BQ14" i="10"/>
  <c r="BR10" i="10"/>
  <c r="BR13" i="10"/>
  <c r="BQ13" i="10"/>
  <c r="BR12" i="10"/>
  <c r="BQ12" i="10"/>
  <c r="BR8" i="10"/>
  <c r="BQ8" i="10"/>
  <c r="BR7" i="10"/>
  <c r="BQ7" i="10"/>
  <c r="BR6" i="10"/>
  <c r="BQ6" i="10"/>
  <c r="BR5" i="10"/>
  <c r="BR4" i="10"/>
  <c r="BQ4" i="10"/>
  <c r="BO33" i="10"/>
  <c r="BL33" i="10"/>
  <c r="BI33" i="10"/>
  <c r="BF33" i="10"/>
  <c r="BI34" i="10"/>
  <c r="BF34" i="10"/>
  <c r="BO31" i="10"/>
  <c r="BN31" i="10"/>
  <c r="BL31" i="10"/>
  <c r="BK31" i="10"/>
  <c r="BI31" i="10"/>
  <c r="BH31" i="10"/>
  <c r="BF31" i="10"/>
  <c r="BE31" i="10"/>
  <c r="BO9" i="10"/>
  <c r="BN9" i="10"/>
  <c r="BL9" i="10"/>
  <c r="BK9" i="10"/>
  <c r="BI9" i="10"/>
  <c r="BH9" i="10"/>
  <c r="BF9" i="10"/>
  <c r="BE9" i="10"/>
  <c r="BL30" i="10"/>
  <c r="BK30" i="10"/>
  <c r="BI30" i="10"/>
  <c r="BH30" i="10"/>
  <c r="BF30" i="10"/>
  <c r="BE30" i="10"/>
  <c r="BO35" i="10"/>
  <c r="BN35" i="10"/>
  <c r="BL35" i="10"/>
  <c r="BK35" i="10"/>
  <c r="BI35" i="10"/>
  <c r="BH35" i="10"/>
  <c r="BF35" i="10"/>
  <c r="BE35" i="10"/>
  <c r="BL29" i="10"/>
  <c r="BK29" i="10"/>
  <c r="BI29" i="10"/>
  <c r="BH29" i="10"/>
  <c r="BF29" i="10"/>
  <c r="BE29" i="10"/>
  <c r="BO28" i="10"/>
  <c r="BN28" i="10"/>
  <c r="BL28" i="10"/>
  <c r="BK28" i="10"/>
  <c r="BI28" i="10"/>
  <c r="BH28" i="10"/>
  <c r="BF28" i="10"/>
  <c r="BE28" i="10"/>
  <c r="BO27" i="10"/>
  <c r="BN27" i="10"/>
  <c r="BL27" i="10"/>
  <c r="BK27" i="10"/>
  <c r="BI27" i="10"/>
  <c r="BH27" i="10"/>
  <c r="BF27" i="10"/>
  <c r="BE27" i="10"/>
  <c r="BO26" i="10"/>
  <c r="BN26" i="10"/>
  <c r="BL26" i="10"/>
  <c r="BK26" i="10"/>
  <c r="BI26" i="10"/>
  <c r="BH26" i="10"/>
  <c r="BF26" i="10"/>
  <c r="BE26" i="10"/>
  <c r="BO25" i="10"/>
  <c r="BN25" i="10"/>
  <c r="BL25" i="10"/>
  <c r="BK25" i="10"/>
  <c r="BI25" i="10"/>
  <c r="BH25" i="10"/>
  <c r="BF25" i="10"/>
  <c r="BE25" i="10"/>
  <c r="BO24" i="10"/>
  <c r="BN24" i="10"/>
  <c r="BL24" i="10"/>
  <c r="BK24" i="10"/>
  <c r="BI24" i="10"/>
  <c r="BH24" i="10"/>
  <c r="BF24" i="10"/>
  <c r="BE24" i="10"/>
  <c r="BL23" i="10"/>
  <c r="BK23" i="10"/>
  <c r="BI23" i="10"/>
  <c r="BH23" i="10"/>
  <c r="BF23" i="10"/>
  <c r="BE23" i="10"/>
  <c r="BO22" i="10"/>
  <c r="BN22" i="10"/>
  <c r="BL22" i="10"/>
  <c r="BK22" i="10"/>
  <c r="BI22" i="10"/>
  <c r="BH22" i="10"/>
  <c r="BF22" i="10"/>
  <c r="BE22" i="10"/>
  <c r="BL21" i="10"/>
  <c r="BK21" i="10"/>
  <c r="BI21" i="10"/>
  <c r="BH21" i="10"/>
  <c r="BF21" i="10"/>
  <c r="BE21" i="10"/>
  <c r="BO20" i="10"/>
  <c r="BN20" i="10"/>
  <c r="BL20" i="10"/>
  <c r="BK20" i="10"/>
  <c r="BI20" i="10"/>
  <c r="BH20" i="10"/>
  <c r="BF20" i="10"/>
  <c r="BE20" i="10"/>
  <c r="BO19" i="10"/>
  <c r="BN19" i="10"/>
  <c r="BL19" i="10"/>
  <c r="BK19" i="10"/>
  <c r="BI19" i="10"/>
  <c r="BH19" i="10"/>
  <c r="BF19" i="10"/>
  <c r="BE19" i="10"/>
  <c r="BO18" i="10"/>
  <c r="BN18" i="10"/>
  <c r="BL18" i="10"/>
  <c r="BK18" i="10"/>
  <c r="BI18" i="10"/>
  <c r="BH18" i="10"/>
  <c r="BF18" i="10"/>
  <c r="BE18" i="10"/>
  <c r="BO17" i="10"/>
  <c r="BN17" i="10"/>
  <c r="BL17" i="10"/>
  <c r="BK17" i="10"/>
  <c r="BI17" i="10"/>
  <c r="BH17" i="10"/>
  <c r="BF17" i="10"/>
  <c r="BE17" i="10"/>
  <c r="BO16" i="10"/>
  <c r="BN16" i="10"/>
  <c r="BL16" i="10"/>
  <c r="BK16" i="10"/>
  <c r="BI16" i="10"/>
  <c r="BH16" i="10"/>
  <c r="BF16" i="10"/>
  <c r="BE16" i="10"/>
  <c r="BL15" i="10"/>
  <c r="BK15" i="10"/>
  <c r="BI15" i="10"/>
  <c r="BH15" i="10"/>
  <c r="BF15" i="10"/>
  <c r="BE15" i="10"/>
  <c r="BO14" i="10"/>
  <c r="BL14" i="10"/>
  <c r="BI14" i="10"/>
  <c r="BF14" i="10"/>
  <c r="BL10" i="10"/>
  <c r="BK10" i="10"/>
  <c r="BI10" i="10"/>
  <c r="BH10" i="10"/>
  <c r="BF10" i="10"/>
  <c r="BE10" i="10"/>
  <c r="BO13" i="10"/>
  <c r="BN13" i="10"/>
  <c r="BL13" i="10"/>
  <c r="BK13" i="10"/>
  <c r="BI13" i="10"/>
  <c r="BH13" i="10"/>
  <c r="BF13" i="10"/>
  <c r="BE13" i="10"/>
  <c r="BO12" i="10"/>
  <c r="BN12" i="10"/>
  <c r="BL12" i="10"/>
  <c r="BK12" i="10"/>
  <c r="BI12" i="10"/>
  <c r="BH12" i="10"/>
  <c r="BF12" i="10"/>
  <c r="BE12" i="10"/>
  <c r="BO8" i="10"/>
  <c r="BN8" i="10"/>
  <c r="BL8" i="10"/>
  <c r="BK8" i="10"/>
  <c r="BI8" i="10"/>
  <c r="BH8" i="10"/>
  <c r="BF8" i="10"/>
  <c r="BE8" i="10"/>
  <c r="BO7" i="10"/>
  <c r="BN7" i="10"/>
  <c r="BL7" i="10"/>
  <c r="BK7" i="10"/>
  <c r="BI7" i="10"/>
  <c r="BH7" i="10"/>
  <c r="BF7" i="10"/>
  <c r="BE7" i="10"/>
  <c r="BO6" i="10"/>
  <c r="BN6" i="10"/>
  <c r="BL6" i="10"/>
  <c r="BK6" i="10"/>
  <c r="BI6" i="10"/>
  <c r="BH6" i="10"/>
  <c r="BF6" i="10"/>
  <c r="BE6" i="10"/>
  <c r="BN5" i="10"/>
  <c r="BL5" i="10"/>
  <c r="BK5" i="10"/>
  <c r="BI5" i="10"/>
  <c r="BH5" i="10"/>
  <c r="BF5" i="10"/>
  <c r="BE5" i="10"/>
  <c r="BO4" i="10"/>
  <c r="BN4" i="10"/>
  <c r="BL4" i="10"/>
  <c r="BK4" i="10"/>
  <c r="BI4" i="10"/>
  <c r="BH4" i="10"/>
  <c r="BF4" i="10"/>
  <c r="R34" i="5"/>
  <c r="AC3" i="27" l="1"/>
  <c r="AB36" i="27"/>
  <c r="Y3" i="27"/>
  <c r="X36" i="27"/>
  <c r="BO5" i="10"/>
  <c r="BO10" i="10"/>
  <c r="BN10" i="10"/>
  <c r="BQ21" i="10"/>
  <c r="BN15" i="10"/>
  <c r="BN21" i="10"/>
  <c r="BN23" i="10"/>
  <c r="BN29" i="10"/>
  <c r="BN30" i="10"/>
  <c r="BQ15" i="10"/>
  <c r="BQ23" i="10"/>
  <c r="BQ30" i="10"/>
  <c r="BO15" i="10"/>
  <c r="BO23" i="10"/>
  <c r="Z3" i="27" l="1"/>
  <c r="Y36" i="27"/>
  <c r="AD3" i="27"/>
  <c r="AC36" i="27"/>
  <c r="AE3" i="27" l="1"/>
  <c r="AE36" i="27" s="1"/>
  <c r="AD36" i="27"/>
  <c r="AA3" i="27"/>
  <c r="AA36" i="27" s="1"/>
  <c r="Z36" i="27"/>
  <c r="BB28" i="4" l="1"/>
  <c r="R74" i="11"/>
  <c r="S74" i="11" s="1"/>
  <c r="R73" i="11"/>
  <c r="S73" i="11" s="1"/>
  <c r="R72" i="11"/>
  <c r="S72" i="11" s="1"/>
  <c r="R67" i="11"/>
  <c r="S67" i="11" s="1"/>
  <c r="R66" i="11"/>
  <c r="S66" i="11" s="1"/>
  <c r="R65" i="11"/>
  <c r="S65" i="11" s="1"/>
  <c r="R60" i="11"/>
  <c r="S60" i="11" s="1"/>
  <c r="R59" i="11"/>
  <c r="S59" i="11" s="1"/>
  <c r="R58" i="11"/>
  <c r="S58" i="11" s="1"/>
  <c r="R57" i="11"/>
  <c r="S57" i="11" s="1"/>
  <c r="R56" i="11"/>
  <c r="S56" i="11" s="1"/>
  <c r="CA17" i="4"/>
  <c r="BX18" i="4"/>
  <c r="CA7" i="4"/>
  <c r="CB7" i="4"/>
  <c r="CB53" i="4"/>
  <c r="BY53" i="4"/>
  <c r="BV53" i="4"/>
  <c r="BS53" i="4"/>
  <c r="BP53" i="4"/>
  <c r="BM53" i="4"/>
  <c r="BJ53" i="4"/>
  <c r="BG53" i="4"/>
  <c r="CB52" i="4"/>
  <c r="CA52" i="4"/>
  <c r="BY52" i="4"/>
  <c r="BX52" i="4"/>
  <c r="BV52" i="4"/>
  <c r="BU52" i="4"/>
  <c r="BS52" i="4"/>
  <c r="BR52" i="4"/>
  <c r="BP52" i="4"/>
  <c r="BO52" i="4"/>
  <c r="BM52" i="4"/>
  <c r="BL52" i="4"/>
  <c r="BJ52" i="4"/>
  <c r="BI52" i="4"/>
  <c r="BG52" i="4"/>
  <c r="BF52" i="4"/>
  <c r="CB51" i="4"/>
  <c r="CA51" i="4"/>
  <c r="BY51" i="4"/>
  <c r="BX51" i="4"/>
  <c r="BV51" i="4"/>
  <c r="BU51" i="4"/>
  <c r="BS51" i="4"/>
  <c r="BR51" i="4"/>
  <c r="BP51" i="4"/>
  <c r="BO51" i="4"/>
  <c r="BM51" i="4"/>
  <c r="BL51" i="4"/>
  <c r="BJ51" i="4"/>
  <c r="BI51" i="4"/>
  <c r="BG51" i="4"/>
  <c r="BF51" i="4"/>
  <c r="CB50" i="4"/>
  <c r="CB90" i="4" s="1"/>
  <c r="CA50" i="4"/>
  <c r="CA90" i="4" s="1"/>
  <c r="BY50" i="4"/>
  <c r="BY90" i="4" s="1"/>
  <c r="BX50" i="4"/>
  <c r="BX90" i="4" s="1"/>
  <c r="BV50" i="4"/>
  <c r="BV90" i="4" s="1"/>
  <c r="BU50" i="4"/>
  <c r="BU90" i="4" s="1"/>
  <c r="BS50" i="4"/>
  <c r="BS90" i="4" s="1"/>
  <c r="BR50" i="4"/>
  <c r="BR90" i="4" s="1"/>
  <c r="BP50" i="4"/>
  <c r="BP90" i="4" s="1"/>
  <c r="BO50" i="4"/>
  <c r="BO90" i="4" s="1"/>
  <c r="BM50" i="4"/>
  <c r="BM90" i="4" s="1"/>
  <c r="BL50" i="4"/>
  <c r="BL90" i="4" s="1"/>
  <c r="BJ50" i="4"/>
  <c r="BJ90" i="4" s="1"/>
  <c r="BI50" i="4"/>
  <c r="BI90" i="4" s="1"/>
  <c r="BG50" i="4"/>
  <c r="BG90" i="4" s="1"/>
  <c r="BF50" i="4"/>
  <c r="BF90" i="4" s="1"/>
  <c r="CB49" i="4"/>
  <c r="CA49" i="4"/>
  <c r="BY49" i="4"/>
  <c r="BX49" i="4"/>
  <c r="BV49" i="4"/>
  <c r="BU49" i="4"/>
  <c r="BS49" i="4"/>
  <c r="BR49" i="4"/>
  <c r="BP49" i="4"/>
  <c r="BO49" i="4"/>
  <c r="BM49" i="4"/>
  <c r="BL49" i="4"/>
  <c r="BJ49" i="4"/>
  <c r="BI49" i="4"/>
  <c r="BG49" i="4"/>
  <c r="BF49" i="4"/>
  <c r="CB48" i="4"/>
  <c r="CA48" i="4"/>
  <c r="BY48" i="4"/>
  <c r="BX48" i="4"/>
  <c r="BV48" i="4"/>
  <c r="BU48" i="4"/>
  <c r="BS48" i="4"/>
  <c r="BR48" i="4"/>
  <c r="BP48" i="4"/>
  <c r="BO48" i="4"/>
  <c r="BM48" i="4"/>
  <c r="BL48" i="4"/>
  <c r="BJ48" i="4"/>
  <c r="BI48" i="4"/>
  <c r="BG48" i="4"/>
  <c r="BF48" i="4"/>
  <c r="CB44" i="4"/>
  <c r="CA44" i="4"/>
  <c r="BY44" i="4"/>
  <c r="BX44" i="4"/>
  <c r="BV44" i="4"/>
  <c r="BU44" i="4"/>
  <c r="BS44" i="4"/>
  <c r="BR44" i="4"/>
  <c r="BP44" i="4"/>
  <c r="BO44" i="4"/>
  <c r="BM44" i="4"/>
  <c r="BL44" i="4"/>
  <c r="BJ44" i="4"/>
  <c r="BI44" i="4"/>
  <c r="BG44" i="4"/>
  <c r="BF44" i="4"/>
  <c r="CB43" i="4"/>
  <c r="CA43" i="4"/>
  <c r="BY43" i="4"/>
  <c r="BX43" i="4"/>
  <c r="BV43" i="4"/>
  <c r="BU43" i="4"/>
  <c r="BS43" i="4"/>
  <c r="BR43" i="4"/>
  <c r="BP43" i="4"/>
  <c r="BO43" i="4"/>
  <c r="BM43" i="4"/>
  <c r="BL43" i="4"/>
  <c r="BJ43" i="4"/>
  <c r="BI43" i="4"/>
  <c r="BG43" i="4"/>
  <c r="BF43" i="4"/>
  <c r="CB42" i="4"/>
  <c r="CA42" i="4"/>
  <c r="BY42" i="4"/>
  <c r="BX42" i="4"/>
  <c r="BV42" i="4"/>
  <c r="BU42" i="4"/>
  <c r="BS42" i="4"/>
  <c r="BR42" i="4"/>
  <c r="BP42" i="4"/>
  <c r="BO42" i="4"/>
  <c r="BM42" i="4"/>
  <c r="BL42" i="4"/>
  <c r="BJ42" i="4"/>
  <c r="BI42" i="4"/>
  <c r="BG42" i="4"/>
  <c r="BF42" i="4"/>
  <c r="CB41" i="4"/>
  <c r="CA41" i="4"/>
  <c r="BY41" i="4"/>
  <c r="BX41" i="4"/>
  <c r="BV41" i="4"/>
  <c r="BU41" i="4"/>
  <c r="BS41" i="4"/>
  <c r="BR41" i="4"/>
  <c r="BP41" i="4"/>
  <c r="BO41" i="4"/>
  <c r="BM41" i="4"/>
  <c r="BL41" i="4"/>
  <c r="BJ41" i="4"/>
  <c r="BI41" i="4"/>
  <c r="BG41" i="4"/>
  <c r="BF41" i="4"/>
  <c r="CB40" i="4"/>
  <c r="CA40" i="4"/>
  <c r="BY40" i="4"/>
  <c r="BX40" i="4"/>
  <c r="BV40" i="4"/>
  <c r="BU40" i="4"/>
  <c r="BS40" i="4"/>
  <c r="BR40" i="4"/>
  <c r="BP40" i="4"/>
  <c r="BO40" i="4"/>
  <c r="BM40" i="4"/>
  <c r="BL40" i="4"/>
  <c r="BJ40" i="4"/>
  <c r="BI40" i="4"/>
  <c r="BG40" i="4"/>
  <c r="BF40" i="4"/>
  <c r="CB38" i="4"/>
  <c r="CA38" i="4"/>
  <c r="BY38" i="4"/>
  <c r="BX38" i="4"/>
  <c r="BV38" i="4"/>
  <c r="BU38" i="4"/>
  <c r="BS38" i="4"/>
  <c r="BR38" i="4"/>
  <c r="CB37" i="4"/>
  <c r="CA37" i="4"/>
  <c r="BY37" i="4"/>
  <c r="BX37" i="4"/>
  <c r="BV37" i="4"/>
  <c r="BU37" i="4"/>
  <c r="BS37" i="4"/>
  <c r="BR37" i="4"/>
  <c r="BP37" i="4"/>
  <c r="BO37" i="4"/>
  <c r="BM37" i="4"/>
  <c r="BL37" i="4"/>
  <c r="BJ37" i="4"/>
  <c r="BI37" i="4"/>
  <c r="BG37" i="4"/>
  <c r="BF37" i="4"/>
  <c r="CB36" i="4"/>
  <c r="CA36" i="4"/>
  <c r="BY36" i="4"/>
  <c r="BX36" i="4"/>
  <c r="BV36" i="4"/>
  <c r="BU36" i="4"/>
  <c r="BS36" i="4"/>
  <c r="BR36" i="4"/>
  <c r="BP36" i="4"/>
  <c r="BO36" i="4"/>
  <c r="BM36" i="4"/>
  <c r="BL36" i="4"/>
  <c r="BJ36" i="4"/>
  <c r="BI36" i="4"/>
  <c r="BG36" i="4"/>
  <c r="BF36" i="4"/>
  <c r="CB35" i="4"/>
  <c r="CA35" i="4"/>
  <c r="CB34" i="4"/>
  <c r="CA34" i="4"/>
  <c r="BY34" i="4"/>
  <c r="BX34" i="4"/>
  <c r="BV34" i="4"/>
  <c r="BU34" i="4"/>
  <c r="BS34" i="4"/>
  <c r="BR34" i="4"/>
  <c r="BP34" i="4"/>
  <c r="BO34" i="4"/>
  <c r="BM34" i="4"/>
  <c r="BL34" i="4"/>
  <c r="BJ34" i="4"/>
  <c r="BI34" i="4"/>
  <c r="BG34" i="4"/>
  <c r="BF34" i="4"/>
  <c r="CB32" i="4"/>
  <c r="CA32" i="4"/>
  <c r="BY32" i="4"/>
  <c r="BX32" i="4"/>
  <c r="BV32" i="4"/>
  <c r="BU32" i="4"/>
  <c r="BS32" i="4"/>
  <c r="BR32" i="4"/>
  <c r="BP32" i="4"/>
  <c r="BO32" i="4"/>
  <c r="BM32" i="4"/>
  <c r="BL32" i="4"/>
  <c r="BJ32" i="4"/>
  <c r="BI32" i="4"/>
  <c r="BG32" i="4"/>
  <c r="BF32" i="4"/>
  <c r="CB31" i="4"/>
  <c r="CA31" i="4"/>
  <c r="BY31" i="4"/>
  <c r="BX31" i="4"/>
  <c r="BV31" i="4"/>
  <c r="BU31" i="4"/>
  <c r="BS31" i="4"/>
  <c r="BR31" i="4"/>
  <c r="BP31" i="4"/>
  <c r="BO31" i="4"/>
  <c r="BM31" i="4"/>
  <c r="BL31" i="4"/>
  <c r="BJ31" i="4"/>
  <c r="BI31" i="4"/>
  <c r="BG31" i="4"/>
  <c r="BF31" i="4"/>
  <c r="CB29" i="4"/>
  <c r="CA29" i="4"/>
  <c r="CB25" i="4"/>
  <c r="CA25" i="4"/>
  <c r="BY25" i="4"/>
  <c r="BX25" i="4"/>
  <c r="BV25" i="4"/>
  <c r="BU25" i="4"/>
  <c r="BS25" i="4"/>
  <c r="BR25" i="4"/>
  <c r="BP25" i="4"/>
  <c r="BO25" i="4"/>
  <c r="BM25" i="4"/>
  <c r="BL25" i="4"/>
  <c r="BJ25" i="4"/>
  <c r="BI25" i="4"/>
  <c r="BG25" i="4"/>
  <c r="BF25" i="4"/>
  <c r="CB24" i="4"/>
  <c r="CA24" i="4"/>
  <c r="BY24" i="4"/>
  <c r="BX24" i="4"/>
  <c r="BV24" i="4"/>
  <c r="BU24" i="4"/>
  <c r="BS24" i="4"/>
  <c r="BR24" i="4"/>
  <c r="BP24" i="4"/>
  <c r="BO24" i="4"/>
  <c r="BM24" i="4"/>
  <c r="BL24" i="4"/>
  <c r="BJ24" i="4"/>
  <c r="BI24" i="4"/>
  <c r="BG24" i="4"/>
  <c r="BF24" i="4"/>
  <c r="CB23" i="4"/>
  <c r="CA23" i="4"/>
  <c r="BY23" i="4"/>
  <c r="BX23" i="4"/>
  <c r="BV23" i="4"/>
  <c r="BU23" i="4"/>
  <c r="BS23" i="4"/>
  <c r="BR23" i="4"/>
  <c r="BP23" i="4"/>
  <c r="BO23" i="4"/>
  <c r="BM23" i="4"/>
  <c r="BL23" i="4"/>
  <c r="BJ23" i="4"/>
  <c r="BI23" i="4"/>
  <c r="BG23" i="4"/>
  <c r="BF23" i="4"/>
  <c r="CB22" i="4"/>
  <c r="CA22" i="4"/>
  <c r="BY22" i="4"/>
  <c r="BX22" i="4"/>
  <c r="BV22" i="4"/>
  <c r="BU22" i="4"/>
  <c r="BS22" i="4"/>
  <c r="BR22" i="4"/>
  <c r="BP22" i="4"/>
  <c r="BO22" i="4"/>
  <c r="BM22" i="4"/>
  <c r="BL22" i="4"/>
  <c r="BJ22" i="4"/>
  <c r="BI22" i="4"/>
  <c r="BG22" i="4"/>
  <c r="BF22" i="4"/>
  <c r="CB21" i="4"/>
  <c r="CA21" i="4"/>
  <c r="BY21" i="4"/>
  <c r="BX21" i="4"/>
  <c r="BV21" i="4"/>
  <c r="BU21" i="4"/>
  <c r="BS21" i="4"/>
  <c r="BR21" i="4"/>
  <c r="BP21" i="4"/>
  <c r="BO21" i="4"/>
  <c r="BM21" i="4"/>
  <c r="BL21" i="4"/>
  <c r="BJ21" i="4"/>
  <c r="BI21" i="4"/>
  <c r="BG21" i="4"/>
  <c r="BF21" i="4"/>
  <c r="CB20" i="4"/>
  <c r="CA20" i="4"/>
  <c r="BY20" i="4"/>
  <c r="BX20" i="4"/>
  <c r="BV20" i="4"/>
  <c r="BU20" i="4"/>
  <c r="BS20" i="4"/>
  <c r="BR20" i="4"/>
  <c r="BP20" i="4"/>
  <c r="BO20" i="4"/>
  <c r="BM20" i="4"/>
  <c r="BL20" i="4"/>
  <c r="BJ20" i="4"/>
  <c r="BI20" i="4"/>
  <c r="BG20" i="4"/>
  <c r="BF20" i="4"/>
  <c r="CB19" i="4"/>
  <c r="CA19" i="4"/>
  <c r="BY19" i="4"/>
  <c r="BX19" i="4"/>
  <c r="BV19" i="4"/>
  <c r="BU19" i="4"/>
  <c r="BS19" i="4"/>
  <c r="BR19" i="4"/>
  <c r="BP19" i="4"/>
  <c r="BO19" i="4"/>
  <c r="BM19" i="4"/>
  <c r="BL19" i="4"/>
  <c r="BJ19" i="4"/>
  <c r="BI19" i="4"/>
  <c r="BG19" i="4"/>
  <c r="BF19" i="4"/>
  <c r="CB18" i="4"/>
  <c r="CA18" i="4"/>
  <c r="BY18" i="4"/>
  <c r="BV18" i="4"/>
  <c r="BU18" i="4"/>
  <c r="BS18" i="4"/>
  <c r="BR18" i="4"/>
  <c r="BP18" i="4"/>
  <c r="BO18" i="4"/>
  <c r="BM18" i="4"/>
  <c r="BL18" i="4"/>
  <c r="BJ18" i="4"/>
  <c r="BI18" i="4"/>
  <c r="BG18" i="4"/>
  <c r="BF18" i="4"/>
  <c r="CB17" i="4"/>
  <c r="BY17" i="4"/>
  <c r="BX17" i="4"/>
  <c r="BV17" i="4"/>
  <c r="BU17" i="4"/>
  <c r="BS17" i="4"/>
  <c r="BR17" i="4"/>
  <c r="BP17" i="4"/>
  <c r="BO17" i="4"/>
  <c r="BM17" i="4"/>
  <c r="BL17" i="4"/>
  <c r="BJ17" i="4"/>
  <c r="BI17" i="4"/>
  <c r="BG17" i="4"/>
  <c r="BF17" i="4"/>
  <c r="CB16" i="4"/>
  <c r="CA16" i="4"/>
  <c r="BY16" i="4"/>
  <c r="BX16" i="4"/>
  <c r="BV16" i="4"/>
  <c r="BU16" i="4"/>
  <c r="BS16" i="4"/>
  <c r="BR16" i="4"/>
  <c r="BP16" i="4"/>
  <c r="BO16" i="4"/>
  <c r="BM16" i="4"/>
  <c r="BL16" i="4"/>
  <c r="BJ16" i="4"/>
  <c r="BI16" i="4"/>
  <c r="BG16" i="4"/>
  <c r="BF16" i="4"/>
  <c r="CB13" i="4"/>
  <c r="CA13" i="4"/>
  <c r="BY13" i="4"/>
  <c r="BX13" i="4"/>
  <c r="BV13" i="4"/>
  <c r="BU13" i="4"/>
  <c r="BS13" i="4"/>
  <c r="BR13" i="4"/>
  <c r="BP13" i="4"/>
  <c r="BO13" i="4"/>
  <c r="BM13" i="4"/>
  <c r="BL13" i="4"/>
  <c r="BJ13" i="4"/>
  <c r="BI13" i="4"/>
  <c r="BG13" i="4"/>
  <c r="BF13" i="4"/>
  <c r="CB12" i="4"/>
  <c r="CA12" i="4"/>
  <c r="BY12" i="4"/>
  <c r="BX12" i="4"/>
  <c r="BV12" i="4"/>
  <c r="BU12" i="4"/>
  <c r="BS12" i="4"/>
  <c r="BR12" i="4"/>
  <c r="BP12" i="4"/>
  <c r="BO12" i="4"/>
  <c r="BM12" i="4"/>
  <c r="BL12" i="4"/>
  <c r="BJ12" i="4"/>
  <c r="BI12" i="4"/>
  <c r="BG12" i="4"/>
  <c r="BF12" i="4"/>
  <c r="BY11" i="4"/>
  <c r="BX11" i="4"/>
  <c r="BV11" i="4"/>
  <c r="BU11" i="4"/>
  <c r="BS11" i="4"/>
  <c r="BR11" i="4"/>
  <c r="BP11" i="4"/>
  <c r="BO11" i="4"/>
  <c r="BM11" i="4"/>
  <c r="BL11" i="4"/>
  <c r="BJ11" i="4"/>
  <c r="BI11" i="4"/>
  <c r="BG11" i="4"/>
  <c r="CB10" i="4"/>
  <c r="CA10" i="4"/>
  <c r="BY10" i="4"/>
  <c r="BX10" i="4"/>
  <c r="BV10" i="4"/>
  <c r="BU10" i="4"/>
  <c r="BS10" i="4"/>
  <c r="BR10" i="4"/>
  <c r="BP10" i="4"/>
  <c r="BO10" i="4"/>
  <c r="BM10" i="4"/>
  <c r="BL10" i="4"/>
  <c r="BJ10" i="4"/>
  <c r="BI10" i="4"/>
  <c r="BG10" i="4"/>
  <c r="BF10" i="4"/>
  <c r="CB8" i="4"/>
  <c r="CA8" i="4"/>
  <c r="BY8" i="4"/>
  <c r="BX8" i="4"/>
  <c r="BV8" i="4"/>
  <c r="BU8" i="4"/>
  <c r="BS8" i="4"/>
  <c r="BR8" i="4"/>
  <c r="BP8" i="4"/>
  <c r="BO8" i="4"/>
  <c r="BM8" i="4"/>
  <c r="BL8" i="4"/>
  <c r="BJ8" i="4"/>
  <c r="BI8" i="4"/>
  <c r="BG8" i="4"/>
  <c r="BF8" i="4"/>
  <c r="BY7" i="4"/>
  <c r="BX7" i="4"/>
  <c r="BV7" i="4"/>
  <c r="BU7" i="4"/>
  <c r="BS7" i="4"/>
  <c r="BR7" i="4"/>
  <c r="BP7" i="4"/>
  <c r="BO7" i="4"/>
  <c r="BM7" i="4"/>
  <c r="BL7" i="4"/>
  <c r="BJ7" i="4"/>
  <c r="BI7" i="4"/>
  <c r="BG7" i="4"/>
  <c r="BF7" i="4"/>
  <c r="CB6" i="4"/>
  <c r="CA6" i="4"/>
  <c r="BY6" i="4"/>
  <c r="BX6" i="4"/>
  <c r="BV6" i="4"/>
  <c r="BU6" i="4"/>
  <c r="BS6" i="4"/>
  <c r="BR6" i="4"/>
  <c r="BP6" i="4"/>
  <c r="BO6" i="4"/>
  <c r="BM6" i="4"/>
  <c r="BL6" i="4"/>
  <c r="BJ6" i="4"/>
  <c r="BI6" i="4"/>
  <c r="BG6" i="4"/>
  <c r="BF6" i="4"/>
  <c r="CB5" i="4"/>
  <c r="CA5" i="4"/>
  <c r="BY5" i="4"/>
  <c r="BX5" i="4"/>
  <c r="BV5" i="4"/>
  <c r="BU5" i="4"/>
  <c r="BS5" i="4"/>
  <c r="BR5" i="4"/>
  <c r="BP5" i="4"/>
  <c r="BO5" i="4"/>
  <c r="BM5" i="4"/>
  <c r="BL5" i="4"/>
  <c r="BJ5" i="4"/>
  <c r="BI5" i="4"/>
  <c r="BG5" i="4"/>
  <c r="BF5" i="4"/>
  <c r="BW79" i="4"/>
  <c r="CK79" i="4" s="1"/>
  <c r="BT79" i="4"/>
  <c r="CH79" i="4" s="1"/>
  <c r="BQ79" i="4"/>
  <c r="BN79" i="4"/>
  <c r="BK79" i="4"/>
  <c r="BH79" i="4"/>
  <c r="BE79" i="4"/>
  <c r="BZ74" i="4"/>
  <c r="CN74" i="4" s="1"/>
  <c r="U71" i="11" s="1"/>
  <c r="BW74" i="4"/>
  <c r="CK74" i="4" s="1"/>
  <c r="BT74" i="4"/>
  <c r="CH74" i="4" s="1"/>
  <c r="BQ74" i="4"/>
  <c r="BN74" i="4"/>
  <c r="BK74" i="4"/>
  <c r="BH74" i="4"/>
  <c r="BE74" i="4"/>
  <c r="BZ71" i="4"/>
  <c r="CN71" i="4" s="1"/>
  <c r="U68" i="11" s="1"/>
  <c r="BW71" i="4"/>
  <c r="CK71" i="4" s="1"/>
  <c r="BT71" i="4"/>
  <c r="CH71" i="4" s="1"/>
  <c r="BQ71" i="4"/>
  <c r="BN71" i="4"/>
  <c r="BK71" i="4"/>
  <c r="BH71" i="4"/>
  <c r="BE71" i="4"/>
  <c r="BZ67" i="4"/>
  <c r="CN67" i="4" s="1"/>
  <c r="U64" i="11" s="1"/>
  <c r="BW67" i="4"/>
  <c r="CK67" i="4" s="1"/>
  <c r="BT67" i="4"/>
  <c r="CH67" i="4" s="1"/>
  <c r="BQ67" i="4"/>
  <c r="BN67" i="4"/>
  <c r="BK67" i="4"/>
  <c r="BH67" i="4"/>
  <c r="BE67" i="4"/>
  <c r="BZ64" i="4"/>
  <c r="CN64" i="4" s="1"/>
  <c r="U61" i="11" s="1"/>
  <c r="BW64" i="4"/>
  <c r="CK64" i="4" s="1"/>
  <c r="BT64" i="4"/>
  <c r="CH64" i="4" s="1"/>
  <c r="BQ64" i="4"/>
  <c r="BN64" i="4"/>
  <c r="BK64" i="4"/>
  <c r="BH64" i="4"/>
  <c r="BE64" i="4"/>
  <c r="BZ58" i="4"/>
  <c r="CN58" i="4" s="1"/>
  <c r="U55" i="11" s="1"/>
  <c r="BW58" i="4"/>
  <c r="CK58" i="4" s="1"/>
  <c r="BT58" i="4"/>
  <c r="CH58" i="4" s="1"/>
  <c r="BQ58" i="4"/>
  <c r="BN58" i="4"/>
  <c r="BK58" i="4"/>
  <c r="BH58" i="4"/>
  <c r="BE58" i="4"/>
  <c r="BZ47" i="4"/>
  <c r="BW47" i="4"/>
  <c r="CK47" i="4" s="1"/>
  <c r="BT47" i="4"/>
  <c r="CH47" i="4" s="1"/>
  <c r="BQ47" i="4"/>
  <c r="BQ46" i="4" s="1"/>
  <c r="BN47" i="4"/>
  <c r="BK47" i="4"/>
  <c r="BH47" i="4"/>
  <c r="BE47" i="4"/>
  <c r="BZ39" i="4"/>
  <c r="CN39" i="4" s="1"/>
  <c r="U37" i="11" s="1"/>
  <c r="BW39" i="4"/>
  <c r="CK39" i="4" s="1"/>
  <c r="BT39" i="4"/>
  <c r="CH39" i="4" s="1"/>
  <c r="BQ39" i="4"/>
  <c r="BN39" i="4"/>
  <c r="BK39" i="4"/>
  <c r="BH39" i="4"/>
  <c r="BE39" i="4"/>
  <c r="BZ28" i="4"/>
  <c r="BW28" i="4"/>
  <c r="CK28" i="4" s="1"/>
  <c r="BT28" i="4"/>
  <c r="CH28" i="4" s="1"/>
  <c r="BQ28" i="4"/>
  <c r="BN28" i="4"/>
  <c r="BK28" i="4"/>
  <c r="BH28" i="4"/>
  <c r="BE28" i="4"/>
  <c r="BZ15" i="4"/>
  <c r="CN15" i="4" s="1"/>
  <c r="U14" i="11" s="1"/>
  <c r="BW15" i="4"/>
  <c r="CK15" i="4" s="1"/>
  <c r="BT15" i="4"/>
  <c r="CH15" i="4" s="1"/>
  <c r="BQ15" i="4"/>
  <c r="BN15" i="4"/>
  <c r="BK15" i="4"/>
  <c r="BH15" i="4"/>
  <c r="BE15" i="4"/>
  <c r="BZ4" i="4"/>
  <c r="CN4" i="4" s="1"/>
  <c r="U4" i="11" s="1"/>
  <c r="BW4" i="4"/>
  <c r="CK4" i="4" s="1"/>
  <c r="BT4" i="4"/>
  <c r="CH4" i="4" s="1"/>
  <c r="BQ4" i="4"/>
  <c r="BN4" i="4"/>
  <c r="BK4" i="4"/>
  <c r="BH4" i="4"/>
  <c r="BE4" i="4"/>
  <c r="BB79" i="4"/>
  <c r="AY79" i="4"/>
  <c r="AV79" i="4"/>
  <c r="AS79" i="4"/>
  <c r="AT79" i="4" s="1"/>
  <c r="BB74" i="4"/>
  <c r="AY74" i="4"/>
  <c r="AV74" i="4"/>
  <c r="AS74" i="4"/>
  <c r="AT74" i="4" s="1"/>
  <c r="BB71" i="4"/>
  <c r="AY71" i="4"/>
  <c r="AV71" i="4"/>
  <c r="AS71" i="4"/>
  <c r="AT71" i="4" s="1"/>
  <c r="BB67" i="4"/>
  <c r="AY67" i="4"/>
  <c r="AV67" i="4"/>
  <c r="AS67" i="4"/>
  <c r="AT67" i="4" s="1"/>
  <c r="BB64" i="4"/>
  <c r="AY64" i="4"/>
  <c r="AV64" i="4"/>
  <c r="AS64" i="4"/>
  <c r="AT64" i="4" s="1"/>
  <c r="BB58" i="4"/>
  <c r="AY58" i="4"/>
  <c r="AV58" i="4"/>
  <c r="AS58" i="4"/>
  <c r="AT58" i="4" s="1"/>
  <c r="BB47" i="4"/>
  <c r="AY47" i="4"/>
  <c r="AV47" i="4"/>
  <c r="AS47" i="4"/>
  <c r="BB39" i="4"/>
  <c r="AY39" i="4"/>
  <c r="AV39" i="4"/>
  <c r="AS39" i="4"/>
  <c r="AY28" i="4"/>
  <c r="AV28" i="4"/>
  <c r="AS28" i="4"/>
  <c r="BB15" i="4"/>
  <c r="AY15" i="4"/>
  <c r="AV15" i="4"/>
  <c r="AS15" i="4"/>
  <c r="BB4" i="4"/>
  <c r="AY4" i="4"/>
  <c r="AV4" i="4"/>
  <c r="AS4" i="4"/>
  <c r="BZ27" i="4" l="1"/>
  <c r="CN27" i="4" s="1"/>
  <c r="U25" i="11" s="1"/>
  <c r="CN28" i="4"/>
  <c r="U26" i="11" s="1"/>
  <c r="BZ46" i="4"/>
  <c r="CN46" i="4" s="1"/>
  <c r="U43" i="11" s="1"/>
  <c r="CN47" i="4"/>
  <c r="U44" i="11" s="1"/>
  <c r="BE27" i="4"/>
  <c r="BX64" i="4"/>
  <c r="BX107" i="4" s="1"/>
  <c r="BC64" i="4"/>
  <c r="BC71" i="4"/>
  <c r="BC79" i="4"/>
  <c r="AW64" i="4"/>
  <c r="AW79" i="4"/>
  <c r="AW71" i="4"/>
  <c r="AZ64" i="4"/>
  <c r="AZ71" i="4"/>
  <c r="AZ79" i="4"/>
  <c r="BU64" i="4"/>
  <c r="BU107" i="4" s="1"/>
  <c r="BU71" i="4"/>
  <c r="BU79" i="4"/>
  <c r="BA4" i="4"/>
  <c r="AZ4" i="4"/>
  <c r="AZ28" i="4"/>
  <c r="BA28" i="4"/>
  <c r="BB46" i="4"/>
  <c r="BD47" i="4"/>
  <c r="BC47" i="4"/>
  <c r="BY58" i="4"/>
  <c r="BX58" i="4"/>
  <c r="BX100" i="4" s="1"/>
  <c r="BY67" i="4"/>
  <c r="BX67" i="4"/>
  <c r="BX71" i="4"/>
  <c r="BY74" i="4"/>
  <c r="BX74" i="4"/>
  <c r="BX79" i="4"/>
  <c r="AW58" i="4"/>
  <c r="AW67" i="4"/>
  <c r="AW74" i="4"/>
  <c r="BF58" i="4"/>
  <c r="BG58" i="4"/>
  <c r="BF67" i="4"/>
  <c r="BG67" i="4"/>
  <c r="BF74" i="4"/>
  <c r="BG74" i="4"/>
  <c r="AX15" i="4"/>
  <c r="AW15" i="4"/>
  <c r="AZ58" i="4"/>
  <c r="AZ67" i="4"/>
  <c r="AZ74" i="4"/>
  <c r="BJ58" i="4"/>
  <c r="BI58" i="4"/>
  <c r="BJ67" i="4"/>
  <c r="BI67" i="4"/>
  <c r="BJ74" i="4"/>
  <c r="BI74" i="4"/>
  <c r="AX39" i="4"/>
  <c r="AW39" i="4"/>
  <c r="BA15" i="4"/>
  <c r="AZ15" i="4"/>
  <c r="BD39" i="4"/>
  <c r="BC39" i="4"/>
  <c r="BC58" i="4"/>
  <c r="BC67" i="4"/>
  <c r="BC74" i="4"/>
  <c r="BM58" i="4"/>
  <c r="BL58" i="4"/>
  <c r="BL67" i="4"/>
  <c r="BM67" i="4"/>
  <c r="BL74" i="4"/>
  <c r="BM74" i="4"/>
  <c r="AU39" i="4"/>
  <c r="AT39" i="4"/>
  <c r="CB58" i="4"/>
  <c r="CA58" i="4"/>
  <c r="AU15" i="4"/>
  <c r="AT15" i="4"/>
  <c r="AZ39" i="4"/>
  <c r="BA39" i="4"/>
  <c r="BD15" i="4"/>
  <c r="BC15" i="4"/>
  <c r="AS46" i="4"/>
  <c r="AU47" i="4"/>
  <c r="AT47" i="4"/>
  <c r="BO58" i="4"/>
  <c r="BP58" i="4"/>
  <c r="BP67" i="4"/>
  <c r="BO67" i="4"/>
  <c r="BP74" i="4"/>
  <c r="BO74" i="4"/>
  <c r="CA67" i="4"/>
  <c r="CB67" i="4"/>
  <c r="AU4" i="4"/>
  <c r="AT4" i="4"/>
  <c r="AU28" i="4"/>
  <c r="AT28" i="4"/>
  <c r="AV46" i="4"/>
  <c r="AX47" i="4"/>
  <c r="AW47" i="4"/>
  <c r="BQ65" i="4"/>
  <c r="BS58" i="4"/>
  <c r="BR58" i="4"/>
  <c r="BR100" i="4" s="1"/>
  <c r="BQ72" i="4"/>
  <c r="BS67" i="4"/>
  <c r="BR67" i="4"/>
  <c r="BQ80" i="4"/>
  <c r="BS74" i="4"/>
  <c r="BR74" i="4"/>
  <c r="BD4" i="4"/>
  <c r="BC4" i="4"/>
  <c r="BZ80" i="4"/>
  <c r="CA74" i="4"/>
  <c r="CB74" i="4"/>
  <c r="AX4" i="4"/>
  <c r="AW4" i="4"/>
  <c r="AX28" i="4"/>
  <c r="AW28" i="4"/>
  <c r="AY46" i="4"/>
  <c r="BA47" i="4"/>
  <c r="AZ47" i="4"/>
  <c r="BU58" i="4"/>
  <c r="BU100" i="4" s="1"/>
  <c r="BV58" i="4"/>
  <c r="BU67" i="4"/>
  <c r="BV67" i="4"/>
  <c r="BU74" i="4"/>
  <c r="BV74" i="4"/>
  <c r="BD28" i="4"/>
  <c r="BC28" i="4"/>
  <c r="R61" i="11"/>
  <c r="CA64" i="4"/>
  <c r="CA71" i="4"/>
  <c r="BW72" i="4"/>
  <c r="BW80" i="4"/>
  <c r="CA79" i="4"/>
  <c r="BF71" i="4"/>
  <c r="BS71" i="4"/>
  <c r="BG71" i="4"/>
  <c r="BG79" i="4"/>
  <c r="BF79" i="4"/>
  <c r="BS79" i="4"/>
  <c r="BJ64" i="4"/>
  <c r="BV64" i="4"/>
  <c r="BV71" i="4"/>
  <c r="BI71" i="4"/>
  <c r="BJ71" i="4"/>
  <c r="BJ79" i="4"/>
  <c r="BV79" i="4"/>
  <c r="BI79" i="4"/>
  <c r="BY71" i="4"/>
  <c r="BM71" i="4"/>
  <c r="BL71" i="4"/>
  <c r="BM79" i="4"/>
  <c r="BL79" i="4"/>
  <c r="BY79" i="4"/>
  <c r="BR79" i="4"/>
  <c r="BO79" i="4"/>
  <c r="BP79" i="4"/>
  <c r="CB79" i="4"/>
  <c r="BM64" i="4"/>
  <c r="BL64" i="4"/>
  <c r="BY64" i="4"/>
  <c r="BP71" i="4"/>
  <c r="CB71" i="4"/>
  <c r="BR71" i="4"/>
  <c r="BO71" i="4"/>
  <c r="CB64" i="4"/>
  <c r="BO64" i="4"/>
  <c r="BR64" i="4"/>
  <c r="BR107" i="4" s="1"/>
  <c r="BP64" i="4"/>
  <c r="BG64" i="4"/>
  <c r="BI64" i="4"/>
  <c r="BS64" i="4"/>
  <c r="BF64" i="4"/>
  <c r="BT65" i="4"/>
  <c r="BW65" i="4"/>
  <c r="BZ65" i="4"/>
  <c r="R62" i="11" s="1"/>
  <c r="BX15" i="4"/>
  <c r="BU4" i="4"/>
  <c r="BU15" i="4"/>
  <c r="BX39" i="4"/>
  <c r="CA4" i="4"/>
  <c r="BX47" i="4"/>
  <c r="BW3" i="4"/>
  <c r="CK3" i="4" s="1"/>
  <c r="CA39" i="4"/>
  <c r="CA15" i="4"/>
  <c r="BM4" i="4"/>
  <c r="BF4" i="4"/>
  <c r="BG4" i="4"/>
  <c r="BI4" i="4"/>
  <c r="BT3" i="4"/>
  <c r="CH3" i="4" s="1"/>
  <c r="BG39" i="4"/>
  <c r="BZ72" i="4"/>
  <c r="BJ39" i="4"/>
  <c r="BU47" i="4"/>
  <c r="CA47" i="4"/>
  <c r="BV4" i="4"/>
  <c r="CB28" i="4"/>
  <c r="CB39" i="4"/>
  <c r="BS47" i="4"/>
  <c r="BJ4" i="4"/>
  <c r="BW46" i="4"/>
  <c r="CK46" i="4" s="1"/>
  <c r="AS65" i="4"/>
  <c r="AS72" i="4"/>
  <c r="AS80" i="4"/>
  <c r="BY4" i="4"/>
  <c r="BU39" i="4"/>
  <c r="AV65" i="4"/>
  <c r="BK80" i="4"/>
  <c r="AV72" i="4"/>
  <c r="AV80" i="4"/>
  <c r="BE3" i="4"/>
  <c r="BX28" i="4"/>
  <c r="BW27" i="4"/>
  <c r="CA28" i="4"/>
  <c r="BU28" i="4"/>
  <c r="BT80" i="4"/>
  <c r="BT72" i="4"/>
  <c r="BS4" i="4"/>
  <c r="BV47" i="4"/>
  <c r="BV15" i="4"/>
  <c r="BY47" i="4"/>
  <c r="BX4" i="4"/>
  <c r="BT46" i="4"/>
  <c r="BY15" i="4"/>
  <c r="BZ54" i="4"/>
  <c r="CN54" i="4" s="1"/>
  <c r="U51" i="11" s="1"/>
  <c r="BR47" i="4"/>
  <c r="BR4" i="4"/>
  <c r="CB15" i="4"/>
  <c r="BQ27" i="4"/>
  <c r="BQ54" i="4" s="1"/>
  <c r="BP4" i="4"/>
  <c r="CB4" i="4"/>
  <c r="BN27" i="4"/>
  <c r="CB27" i="4" s="1"/>
  <c r="BP28" i="4"/>
  <c r="BR28" i="4"/>
  <c r="BO28" i="4"/>
  <c r="BM28" i="4"/>
  <c r="BL28" i="4"/>
  <c r="BK3" i="4"/>
  <c r="BK27" i="4"/>
  <c r="BL4" i="4"/>
  <c r="BO4" i="4"/>
  <c r="BY28" i="4"/>
  <c r="BK72" i="4"/>
  <c r="BJ28" i="4"/>
  <c r="BI28" i="4"/>
  <c r="BH27" i="4"/>
  <c r="BV28" i="4"/>
  <c r="BF28" i="4"/>
  <c r="BG28" i="4"/>
  <c r="BS28" i="4"/>
  <c r="BI15" i="4"/>
  <c r="BS15" i="4"/>
  <c r="BI47" i="4"/>
  <c r="BI39" i="4"/>
  <c r="BS39" i="4"/>
  <c r="BJ15" i="4"/>
  <c r="BV39" i="4"/>
  <c r="BJ47" i="4"/>
  <c r="BN3" i="4"/>
  <c r="BL15" i="4"/>
  <c r="BL39" i="4"/>
  <c r="BL47" i="4"/>
  <c r="BM15" i="4"/>
  <c r="BM39" i="4"/>
  <c r="BY39" i="4"/>
  <c r="BM47" i="4"/>
  <c r="BO15" i="4"/>
  <c r="BO39" i="4"/>
  <c r="BO47" i="4"/>
  <c r="BP15" i="4"/>
  <c r="BP39" i="4"/>
  <c r="BP47" i="4"/>
  <c r="CB47" i="4"/>
  <c r="BF15" i="4"/>
  <c r="BR15" i="4"/>
  <c r="BF39" i="4"/>
  <c r="BR39" i="4"/>
  <c r="BF47" i="4"/>
  <c r="BG15" i="4"/>
  <c r="BG47" i="4"/>
  <c r="BH46" i="4"/>
  <c r="BE46" i="4"/>
  <c r="BB3" i="4"/>
  <c r="AY65" i="4"/>
  <c r="AY72" i="4"/>
  <c r="AY80" i="4"/>
  <c r="BH3" i="4"/>
  <c r="BZ3" i="4"/>
  <c r="CN3" i="4" s="1"/>
  <c r="U3" i="11" s="1"/>
  <c r="BK46" i="4"/>
  <c r="BK65" i="4"/>
  <c r="BQ3" i="4"/>
  <c r="BT27" i="4"/>
  <c r="CH27" i="4" s="1"/>
  <c r="BN46" i="4"/>
  <c r="CB46" i="4" s="1"/>
  <c r="BE65" i="4"/>
  <c r="BE72" i="4"/>
  <c r="BE80" i="4"/>
  <c r="BH65" i="4"/>
  <c r="BH72" i="4"/>
  <c r="BH80" i="4"/>
  <c r="BN65" i="4"/>
  <c r="BN72" i="4"/>
  <c r="BN80" i="4"/>
  <c r="AS3" i="4"/>
  <c r="AS27" i="4"/>
  <c r="AY27" i="4"/>
  <c r="BB27" i="4"/>
  <c r="AV27" i="4"/>
  <c r="AV3" i="4"/>
  <c r="AY3" i="4"/>
  <c r="BB65" i="4"/>
  <c r="BB72" i="4"/>
  <c r="BB80" i="4"/>
  <c r="BI27" i="4" l="1"/>
  <c r="CA27" i="4"/>
  <c r="CK27" i="4"/>
  <c r="BU46" i="4"/>
  <c r="CH46" i="4"/>
  <c r="BZ55" i="4"/>
  <c r="BW54" i="4"/>
  <c r="BQ55" i="4"/>
  <c r="BD3" i="4"/>
  <c r="BC3" i="4"/>
  <c r="BF27" i="4"/>
  <c r="BD27" i="4"/>
  <c r="BC27" i="4"/>
  <c r="BA3" i="4"/>
  <c r="AZ3" i="4"/>
  <c r="AX3" i="4"/>
  <c r="AW3" i="4"/>
  <c r="BA27" i="4"/>
  <c r="AZ27" i="4"/>
  <c r="CA46" i="4"/>
  <c r="BG27" i="4"/>
  <c r="AU27" i="4"/>
  <c r="AT27" i="4"/>
  <c r="AU46" i="4"/>
  <c r="AT46" i="4"/>
  <c r="AX27" i="4"/>
  <c r="AW27" i="4"/>
  <c r="AT3" i="4"/>
  <c r="AU3" i="4"/>
  <c r="BA46" i="4"/>
  <c r="AZ46" i="4"/>
  <c r="AX46" i="4"/>
  <c r="AW46" i="4"/>
  <c r="BD46" i="4"/>
  <c r="BC46" i="4"/>
  <c r="BX3" i="4"/>
  <c r="CA3" i="4"/>
  <c r="BY27" i="4"/>
  <c r="BY3" i="4"/>
  <c r="AY54" i="4"/>
  <c r="AY55" i="4" s="1"/>
  <c r="AV54" i="4"/>
  <c r="AV55" i="4" s="1"/>
  <c r="BG3" i="4"/>
  <c r="BF3" i="4"/>
  <c r="BM3" i="4"/>
  <c r="BS27" i="4"/>
  <c r="BX46" i="4"/>
  <c r="BR27" i="4"/>
  <c r="BP27" i="4"/>
  <c r="BO27" i="4"/>
  <c r="BM27" i="4"/>
  <c r="BJ27" i="4"/>
  <c r="BL27" i="4"/>
  <c r="BS46" i="4"/>
  <c r="BG46" i="4"/>
  <c r="BF46" i="4"/>
  <c r="BI3" i="4"/>
  <c r="BV3" i="4"/>
  <c r="BJ3" i="4"/>
  <c r="BI46" i="4"/>
  <c r="BV46" i="4"/>
  <c r="BJ46" i="4"/>
  <c r="BY46" i="4"/>
  <c r="BM46" i="4"/>
  <c r="BL46" i="4"/>
  <c r="BV27" i="4"/>
  <c r="BU27" i="4"/>
  <c r="BX27" i="4"/>
  <c r="CB3" i="4"/>
  <c r="BP3" i="4"/>
  <c r="BO3" i="4"/>
  <c r="BN54" i="4"/>
  <c r="BN55" i="4" s="1"/>
  <c r="BR46" i="4"/>
  <c r="BP46" i="4"/>
  <c r="BO46" i="4"/>
  <c r="BS3" i="4"/>
  <c r="BR3" i="4"/>
  <c r="BU3" i="4"/>
  <c r="BL3" i="4"/>
  <c r="BT54" i="4"/>
  <c r="BE54" i="4"/>
  <c r="BE55" i="4" s="1"/>
  <c r="BH54" i="4"/>
  <c r="BH55" i="4" s="1"/>
  <c r="BK54" i="4"/>
  <c r="BK55" i="4" s="1"/>
  <c r="BB54" i="4"/>
  <c r="BB55" i="4" s="1"/>
  <c r="AS54" i="4"/>
  <c r="AS55" i="4" s="1"/>
  <c r="CA54" i="4" l="1"/>
  <c r="CK54" i="4"/>
  <c r="BT55" i="4"/>
  <c r="CH54" i="4"/>
  <c r="BW55" i="4"/>
  <c r="BC54" i="4"/>
  <c r="BD54" i="4"/>
  <c r="BA54" i="4"/>
  <c r="AZ54" i="4"/>
  <c r="AU54" i="4"/>
  <c r="AT54" i="4"/>
  <c r="AX54" i="4"/>
  <c r="AW54" i="4"/>
  <c r="BI54" i="4"/>
  <c r="BJ54" i="4"/>
  <c r="BG54" i="4"/>
  <c r="BF54" i="4"/>
  <c r="BS54" i="4"/>
  <c r="BU54" i="4"/>
  <c r="BV54" i="4"/>
  <c r="BX54" i="4"/>
  <c r="BP54" i="4"/>
  <c r="BO54" i="4"/>
  <c r="CB54" i="4"/>
  <c r="BR54" i="4"/>
  <c r="BY54" i="4"/>
  <c r="BM54" i="4"/>
  <c r="BL54" i="4"/>
  <c r="D42" i="11" l="1"/>
  <c r="C42" i="11"/>
  <c r="D41" i="11"/>
  <c r="C41" i="11"/>
  <c r="D40" i="11"/>
  <c r="C40" i="11"/>
  <c r="D39" i="11"/>
  <c r="C39" i="11"/>
  <c r="D43" i="11"/>
  <c r="D44" i="11"/>
  <c r="C45" i="11"/>
  <c r="D45" i="11"/>
  <c r="C46" i="11"/>
  <c r="D46" i="11"/>
  <c r="C47" i="11"/>
  <c r="D47" i="11"/>
  <c r="C48" i="11"/>
  <c r="D48" i="11"/>
  <c r="C49" i="11"/>
  <c r="D49" i="11"/>
  <c r="D50" i="11"/>
  <c r="D51" i="11"/>
  <c r="C38" i="11"/>
  <c r="D38" i="11"/>
  <c r="CC28" i="4"/>
  <c r="CG28" i="4" l="1"/>
  <c r="CQ28" i="4"/>
  <c r="CE28" i="4"/>
  <c r="CD28" i="4"/>
  <c r="BX36" i="10"/>
  <c r="BW36" i="10"/>
  <c r="CA36" i="10"/>
  <c r="BZ36" i="10"/>
  <c r="F7" i="22"/>
  <c r="A7" i="22" s="1"/>
  <c r="K7" i="22" s="1"/>
  <c r="F12" i="22"/>
  <c r="A12" i="22" s="1"/>
  <c r="K12" i="22" s="1"/>
  <c r="F11" i="22"/>
  <c r="A11" i="22" s="1"/>
  <c r="K11" i="22" s="1"/>
  <c r="A13" i="18"/>
  <c r="A3" i="18"/>
  <c r="G3" i="18" s="1"/>
  <c r="K13" i="18" l="1"/>
  <c r="G13" i="18"/>
  <c r="E13" i="18"/>
  <c r="J13" i="18"/>
  <c r="D13" i="18"/>
  <c r="E3" i="18"/>
  <c r="D3" i="18"/>
  <c r="J3" i="18"/>
  <c r="L13" i="18" l="1"/>
  <c r="C17" i="18"/>
  <c r="A17" i="18" s="1"/>
  <c r="G17" i="18" s="1"/>
  <c r="C15" i="18"/>
  <c r="A15" i="18" s="1"/>
  <c r="G15" i="18" s="1"/>
  <c r="C11" i="18"/>
  <c r="A11" i="18" s="1"/>
  <c r="G11" i="18" s="1"/>
  <c r="C9" i="18"/>
  <c r="A9" i="18" s="1"/>
  <c r="G9" i="18" s="1"/>
  <c r="C7" i="18"/>
  <c r="A7" i="18" s="1"/>
  <c r="G7" i="18" s="1"/>
  <c r="C5" i="18"/>
  <c r="A5" i="18" s="1"/>
  <c r="G5" i="18" s="1"/>
  <c r="C16" i="21"/>
  <c r="B16" i="21"/>
  <c r="C15" i="21"/>
  <c r="B15" i="21"/>
  <c r="C14" i="21"/>
  <c r="B14" i="21"/>
  <c r="C13" i="21"/>
  <c r="B13" i="21"/>
  <c r="C12" i="21"/>
  <c r="B12" i="21"/>
  <c r="C11" i="21"/>
  <c r="B11" i="21"/>
  <c r="C10" i="21"/>
  <c r="B10" i="21"/>
  <c r="C9" i="21"/>
  <c r="B9" i="21"/>
  <c r="C8" i="21"/>
  <c r="B8" i="21"/>
  <c r="C7" i="21"/>
  <c r="B7" i="21"/>
  <c r="A28" i="26"/>
  <c r="A29" i="26" s="1"/>
  <c r="A30" i="26" s="1"/>
  <c r="A31" i="26" s="1"/>
  <c r="A32" i="26" s="1"/>
  <c r="A33" i="26" s="1"/>
  <c r="A34" i="26" s="1"/>
  <c r="A35" i="26" s="1"/>
  <c r="A36" i="26" s="1"/>
  <c r="A37" i="26" s="1"/>
  <c r="A38" i="26" s="1"/>
  <c r="A39" i="26" s="1"/>
  <c r="A40" i="26" s="1"/>
  <c r="A42" i="26" s="1"/>
  <c r="A43" i="26" s="1"/>
  <c r="A28" i="8"/>
  <c r="A29" i="8" s="1"/>
  <c r="A30" i="8" s="1"/>
  <c r="A31" i="8" s="1"/>
  <c r="A4" i="26"/>
  <c r="A5" i="26" s="1"/>
  <c r="A6" i="26" s="1"/>
  <c r="A7" i="26" s="1"/>
  <c r="A8" i="26" s="1"/>
  <c r="A9" i="26" s="1"/>
  <c r="A10" i="26" s="1"/>
  <c r="A11" i="26" s="1"/>
  <c r="A12" i="26" s="1"/>
  <c r="A4" i="8"/>
  <c r="A3" i="20"/>
  <c r="A21" i="18" l="1"/>
  <c r="D21" i="18" s="1"/>
  <c r="D17" i="18"/>
  <c r="E17" i="18"/>
  <c r="J17" i="18"/>
  <c r="K17" i="18"/>
  <c r="E15" i="18"/>
  <c r="D15" i="18"/>
  <c r="J15" i="18"/>
  <c r="K15" i="18"/>
  <c r="E11" i="18"/>
  <c r="D11" i="18"/>
  <c r="J11" i="18"/>
  <c r="K11" i="18"/>
  <c r="D9" i="18"/>
  <c r="E9" i="18"/>
  <c r="J9" i="18"/>
  <c r="K9" i="18"/>
  <c r="E7" i="18"/>
  <c r="D7" i="18"/>
  <c r="J7" i="18"/>
  <c r="K7" i="18"/>
  <c r="D5" i="18"/>
  <c r="E5" i="18"/>
  <c r="J5" i="18"/>
  <c r="E21" i="18"/>
  <c r="G21" i="18"/>
  <c r="G3" i="20"/>
  <c r="E3" i="20"/>
  <c r="D3" i="20"/>
  <c r="A13" i="26"/>
  <c r="A14" i="26" s="1"/>
  <c r="A15" i="26" s="1"/>
  <c r="A16" i="26" s="1"/>
  <c r="A17" i="26" s="1"/>
  <c r="A18" i="26" s="1"/>
  <c r="A19" i="26" s="1"/>
  <c r="A20" i="26" s="1"/>
  <c r="A21" i="26" s="1"/>
  <c r="A22" i="26" s="1"/>
  <c r="A23" i="26" s="1"/>
  <c r="A5" i="8"/>
  <c r="A32" i="8"/>
  <c r="A33" i="8" s="1"/>
  <c r="A34" i="8" s="1"/>
  <c r="A35" i="8" s="1"/>
  <c r="A36" i="8" s="1"/>
  <c r="A37" i="8" s="1"/>
  <c r="D18" i="18" l="1"/>
  <c r="A4" i="20"/>
  <c r="E4" i="20" s="1"/>
  <c r="L7" i="18"/>
  <c r="L15" i="18"/>
  <c r="L9" i="18"/>
  <c r="L17" i="18"/>
  <c r="L11" i="18"/>
  <c r="G18" i="18"/>
  <c r="G16" i="18"/>
  <c r="G14" i="18"/>
  <c r="G12" i="18"/>
  <c r="G10" i="18"/>
  <c r="G8" i="18"/>
  <c r="G6" i="18"/>
  <c r="G20" i="18"/>
  <c r="G4" i="18"/>
  <c r="A6" i="8"/>
  <c r="A7" i="8" s="1"/>
  <c r="E14" i="18"/>
  <c r="E18" i="18"/>
  <c r="E10" i="18"/>
  <c r="E12" i="18"/>
  <c r="E16" i="18"/>
  <c r="E8" i="18"/>
  <c r="A38" i="8"/>
  <c r="A39" i="8" s="1"/>
  <c r="A40" i="8" s="1"/>
  <c r="A42" i="8" s="1"/>
  <c r="A43" i="8" s="1"/>
  <c r="D4" i="20" l="1"/>
  <c r="G4" i="20"/>
  <c r="E5" i="20"/>
  <c r="A8" i="8"/>
  <c r="A9" i="8" s="1"/>
  <c r="A6" i="20"/>
  <c r="A8" i="20"/>
  <c r="G5" i="20" l="1"/>
  <c r="A10" i="8"/>
  <c r="A11" i="8" s="1"/>
  <c r="D6" i="20"/>
  <c r="E6" i="20"/>
  <c r="D8" i="20"/>
  <c r="E8" i="20"/>
  <c r="G8" i="20"/>
  <c r="A10" i="20"/>
  <c r="A12" i="8" l="1"/>
  <c r="A13" i="8" s="1"/>
  <c r="E9" i="20"/>
  <c r="G9" i="20"/>
  <c r="D10" i="20"/>
  <c r="E10" i="20"/>
  <c r="A12" i="20"/>
  <c r="A14" i="8" l="1"/>
  <c r="D12" i="20"/>
  <c r="G12" i="20"/>
  <c r="E12" i="20"/>
  <c r="A15" i="8" l="1"/>
  <c r="A13" i="20"/>
  <c r="F12" i="20"/>
  <c r="H12" i="20"/>
  <c r="A14" i="20" l="1"/>
  <c r="A16" i="8"/>
  <c r="G13" i="20"/>
  <c r="E13" i="20"/>
  <c r="D13" i="20"/>
  <c r="G14" i="20" l="1"/>
  <c r="E14" i="20"/>
  <c r="D14" i="20"/>
  <c r="A15" i="20"/>
  <c r="A17" i="8"/>
  <c r="D15" i="20" l="1"/>
  <c r="G15" i="20"/>
  <c r="E15" i="20"/>
  <c r="A16" i="20"/>
  <c r="A18" i="8"/>
  <c r="A19" i="8"/>
  <c r="E16" i="20" l="1"/>
  <c r="D16" i="20"/>
  <c r="A17" i="20"/>
  <c r="A18" i="20"/>
  <c r="A20" i="8"/>
  <c r="A21" i="8" s="1"/>
  <c r="A22" i="8" s="1"/>
  <c r="G18" i="20" l="1"/>
  <c r="E18" i="20"/>
  <c r="D18" i="20"/>
  <c r="E17" i="20"/>
  <c r="D17" i="20"/>
  <c r="G17" i="20"/>
  <c r="A20" i="20"/>
  <c r="G19" i="20"/>
  <c r="A23" i="8"/>
  <c r="E20" i="20"/>
  <c r="D20" i="20"/>
  <c r="S17" i="11"/>
  <c r="C3" i="5"/>
  <c r="B3" i="5"/>
  <c r="C2" i="5"/>
  <c r="B2" i="5"/>
  <c r="P75" i="11"/>
  <c r="Q75" i="11" s="1"/>
  <c r="P71" i="11"/>
  <c r="Q71" i="11" s="1"/>
  <c r="P68" i="11"/>
  <c r="Q68" i="11" s="1"/>
  <c r="CC79" i="4"/>
  <c r="C36" i="11"/>
  <c r="C35" i="11"/>
  <c r="C34" i="11"/>
  <c r="C33" i="11"/>
  <c r="C32" i="11"/>
  <c r="C31" i="11"/>
  <c r="C30" i="11"/>
  <c r="C29" i="11"/>
  <c r="C27" i="11"/>
  <c r="C24" i="11"/>
  <c r="C23" i="11"/>
  <c r="C22" i="11"/>
  <c r="C21" i="11"/>
  <c r="C20" i="11"/>
  <c r="C19" i="11"/>
  <c r="C18" i="11"/>
  <c r="C17" i="11"/>
  <c r="C16" i="11"/>
  <c r="C15" i="11"/>
  <c r="C13" i="11"/>
  <c r="C12" i="11"/>
  <c r="C11" i="11"/>
  <c r="C10" i="11"/>
  <c r="C8" i="11"/>
  <c r="C7" i="11"/>
  <c r="C6" i="11"/>
  <c r="C5" i="11"/>
  <c r="D37" i="11"/>
  <c r="D36" i="11"/>
  <c r="D35" i="11"/>
  <c r="D34" i="11"/>
  <c r="D33" i="11"/>
  <c r="D32" i="11"/>
  <c r="D31" i="11"/>
  <c r="D30" i="11"/>
  <c r="D29" i="11"/>
  <c r="D27" i="11"/>
  <c r="D26" i="11"/>
  <c r="D25" i="11"/>
  <c r="D24" i="11"/>
  <c r="D23" i="11"/>
  <c r="D22" i="11"/>
  <c r="D21" i="11"/>
  <c r="D20" i="11"/>
  <c r="D19" i="11"/>
  <c r="D18" i="11"/>
  <c r="D17" i="11"/>
  <c r="D16" i="11"/>
  <c r="D15" i="11"/>
  <c r="D14" i="11"/>
  <c r="D13" i="11"/>
  <c r="D12" i="11"/>
  <c r="D11" i="11"/>
  <c r="D10" i="11"/>
  <c r="D8" i="11"/>
  <c r="D7" i="11"/>
  <c r="D6" i="11"/>
  <c r="D5" i="11"/>
  <c r="D4" i="11"/>
  <c r="B51" i="11"/>
  <c r="B50" i="11"/>
  <c r="B44" i="11"/>
  <c r="B43" i="11"/>
  <c r="B37" i="11"/>
  <c r="B26" i="11"/>
  <c r="B25" i="11"/>
  <c r="B14" i="11"/>
  <c r="B3" i="11"/>
  <c r="D3" i="11"/>
  <c r="B4" i="11"/>
  <c r="S49" i="11"/>
  <c r="S48" i="11"/>
  <c r="S47" i="11"/>
  <c r="S46" i="11"/>
  <c r="S45" i="11"/>
  <c r="S41" i="11"/>
  <c r="S40" i="11"/>
  <c r="S39" i="11"/>
  <c r="S36" i="11"/>
  <c r="S35" i="11"/>
  <c r="S34" i="11"/>
  <c r="S33" i="11"/>
  <c r="R71" i="11"/>
  <c r="S31" i="11"/>
  <c r="S30" i="11"/>
  <c r="S29" i="11"/>
  <c r="S27" i="11"/>
  <c r="S24" i="11"/>
  <c r="S23" i="11"/>
  <c r="S22" i="11"/>
  <c r="S21" i="11"/>
  <c r="S20" i="11"/>
  <c r="S19" i="11"/>
  <c r="S18" i="11"/>
  <c r="S16" i="11"/>
  <c r="S13" i="11"/>
  <c r="S12" i="11"/>
  <c r="S11" i="11"/>
  <c r="S10" i="11"/>
  <c r="S8" i="11"/>
  <c r="S7" i="11"/>
  <c r="S6" i="11"/>
  <c r="S5" i="11"/>
  <c r="S50" i="11"/>
  <c r="S42" i="11"/>
  <c r="D26" i="7"/>
  <c r="D62" i="7" s="1"/>
  <c r="D27" i="7"/>
  <c r="D30" i="7"/>
  <c r="D33" i="7"/>
  <c r="D38" i="7"/>
  <c r="D39" i="7"/>
  <c r="F35" i="7"/>
  <c r="F34" i="7"/>
  <c r="E33" i="7"/>
  <c r="F32" i="7"/>
  <c r="F31" i="7"/>
  <c r="E30" i="7"/>
  <c r="E38" i="7"/>
  <c r="E27" i="7"/>
  <c r="B44" i="7"/>
  <c r="C41" i="7"/>
  <c r="B41" i="7"/>
  <c r="C40" i="7"/>
  <c r="B40" i="7"/>
  <c r="C39" i="7"/>
  <c r="B39" i="7"/>
  <c r="C38" i="7"/>
  <c r="B38" i="7"/>
  <c r="C37" i="7"/>
  <c r="B37" i="7"/>
  <c r="C36" i="7"/>
  <c r="B36" i="7"/>
  <c r="C35" i="7"/>
  <c r="B35" i="7"/>
  <c r="C34" i="7"/>
  <c r="B34" i="7"/>
  <c r="C33" i="7"/>
  <c r="B33" i="7"/>
  <c r="C32" i="7"/>
  <c r="B32" i="7"/>
  <c r="C31" i="7"/>
  <c r="B31" i="7"/>
  <c r="C30" i="7"/>
  <c r="B30" i="7"/>
  <c r="C29" i="7"/>
  <c r="B29" i="7"/>
  <c r="C28" i="7"/>
  <c r="B28" i="7"/>
  <c r="C27" i="7"/>
  <c r="B27" i="7"/>
  <c r="B26" i="7"/>
  <c r="C23" i="7"/>
  <c r="B23" i="7"/>
  <c r="C22" i="7"/>
  <c r="B22" i="7"/>
  <c r="C21" i="7"/>
  <c r="B21" i="7"/>
  <c r="C20" i="7"/>
  <c r="B20" i="7"/>
  <c r="C19" i="7"/>
  <c r="B19" i="7"/>
  <c r="C18" i="7"/>
  <c r="B18" i="7"/>
  <c r="C17" i="7"/>
  <c r="B17" i="7"/>
  <c r="C16" i="7"/>
  <c r="B16" i="7"/>
  <c r="C15" i="7"/>
  <c r="B15" i="7"/>
  <c r="C14" i="7"/>
  <c r="B14" i="7"/>
  <c r="C13" i="7"/>
  <c r="B13" i="7"/>
  <c r="C12" i="7"/>
  <c r="B12" i="7"/>
  <c r="C11" i="7"/>
  <c r="B11" i="7"/>
  <c r="C10" i="7"/>
  <c r="B10" i="7"/>
  <c r="C9" i="7"/>
  <c r="B9" i="7"/>
  <c r="C8" i="7"/>
  <c r="B8" i="7"/>
  <c r="C7" i="7"/>
  <c r="B7" i="7"/>
  <c r="C6" i="7"/>
  <c r="B6" i="7"/>
  <c r="C5" i="7"/>
  <c r="B5" i="7"/>
  <c r="C4" i="7"/>
  <c r="B4" i="7"/>
  <c r="B3" i="7"/>
  <c r="CI36" i="10"/>
  <c r="CM9" i="10"/>
  <c r="CL9" i="10"/>
  <c r="CJ9" i="10"/>
  <c r="CI9" i="10"/>
  <c r="CG9" i="10"/>
  <c r="CM10" i="10"/>
  <c r="CL10" i="10"/>
  <c r="CJ10" i="10"/>
  <c r="CI10" i="10"/>
  <c r="CG10" i="10"/>
  <c r="CM8" i="10"/>
  <c r="CL8" i="10"/>
  <c r="CJ8" i="10"/>
  <c r="CI8" i="10"/>
  <c r="CG8" i="10"/>
  <c r="CM7" i="10"/>
  <c r="CL7" i="10"/>
  <c r="CJ7" i="10"/>
  <c r="CI7" i="10"/>
  <c r="CG7" i="10"/>
  <c r="CM6" i="10"/>
  <c r="CL6" i="10"/>
  <c r="CJ6" i="10"/>
  <c r="CI6" i="10"/>
  <c r="CG6" i="10"/>
  <c r="CM5" i="10"/>
  <c r="CL5" i="10"/>
  <c r="CJ5" i="10"/>
  <c r="CI5" i="10"/>
  <c r="CG5" i="10"/>
  <c r="CM4" i="10"/>
  <c r="CL4" i="10"/>
  <c r="CJ4" i="10"/>
  <c r="CI4" i="10"/>
  <c r="CG4" i="10"/>
  <c r="B3" i="27"/>
  <c r="C3" i="27"/>
  <c r="R40" i="8"/>
  <c r="O40" i="8"/>
  <c r="R39" i="8"/>
  <c r="O39" i="8"/>
  <c r="R38" i="8"/>
  <c r="O38" i="8"/>
  <c r="S37" i="8"/>
  <c r="R37" i="8"/>
  <c r="P37" i="8"/>
  <c r="O37" i="8"/>
  <c r="M37" i="8"/>
  <c r="L37" i="8"/>
  <c r="S36" i="8"/>
  <c r="R36" i="8"/>
  <c r="P36" i="8"/>
  <c r="O36" i="8"/>
  <c r="M36" i="8"/>
  <c r="L36" i="8"/>
  <c r="S35" i="8"/>
  <c r="R35" i="8"/>
  <c r="P35" i="8"/>
  <c r="O35" i="8"/>
  <c r="M35" i="8"/>
  <c r="L35" i="8"/>
  <c r="R34" i="8"/>
  <c r="O34" i="8"/>
  <c r="S33" i="8"/>
  <c r="R33" i="8"/>
  <c r="P33" i="8"/>
  <c r="O33" i="8"/>
  <c r="M33" i="8"/>
  <c r="L33" i="8"/>
  <c r="S32" i="8"/>
  <c r="R32" i="8"/>
  <c r="P32" i="8"/>
  <c r="O32" i="8"/>
  <c r="M32" i="8"/>
  <c r="L32" i="8"/>
  <c r="R31" i="8"/>
  <c r="O31" i="8"/>
  <c r="S30" i="8"/>
  <c r="R30" i="8"/>
  <c r="P30" i="8"/>
  <c r="O30" i="8"/>
  <c r="M30" i="8"/>
  <c r="L30" i="8"/>
  <c r="S29" i="8"/>
  <c r="R29" i="8"/>
  <c r="P29" i="8"/>
  <c r="O29" i="8"/>
  <c r="M29" i="8"/>
  <c r="L29" i="8"/>
  <c r="R28" i="8"/>
  <c r="O28" i="8"/>
  <c r="S26" i="8"/>
  <c r="S64" i="8" s="1"/>
  <c r="R26" i="8"/>
  <c r="R64" i="8" s="1"/>
  <c r="P26" i="8"/>
  <c r="O26" i="8"/>
  <c r="M26" i="8"/>
  <c r="L26" i="8"/>
  <c r="R22" i="8"/>
  <c r="O22" i="8"/>
  <c r="S21" i="8"/>
  <c r="R21" i="8"/>
  <c r="P21" i="8"/>
  <c r="O21" i="8"/>
  <c r="M21" i="8"/>
  <c r="L21" i="8"/>
  <c r="O19" i="8"/>
  <c r="O18" i="8"/>
  <c r="R17" i="8"/>
  <c r="O17" i="8"/>
  <c r="S16" i="8"/>
  <c r="R16" i="8"/>
  <c r="P16" i="8"/>
  <c r="O16" i="8"/>
  <c r="M16" i="8"/>
  <c r="L16" i="8"/>
  <c r="S15" i="8"/>
  <c r="R15" i="8"/>
  <c r="P15" i="8"/>
  <c r="O15" i="8"/>
  <c r="M15" i="8"/>
  <c r="L15" i="8"/>
  <c r="R14" i="8"/>
  <c r="P14" i="8"/>
  <c r="O14" i="8"/>
  <c r="M14" i="8"/>
  <c r="L14" i="8"/>
  <c r="S13" i="8"/>
  <c r="R13" i="8"/>
  <c r="P13" i="8"/>
  <c r="O13" i="8"/>
  <c r="M13" i="8"/>
  <c r="L13" i="8"/>
  <c r="S11" i="8"/>
  <c r="R11" i="8"/>
  <c r="O11" i="8"/>
  <c r="R9" i="8"/>
  <c r="P9" i="8"/>
  <c r="O9" i="8"/>
  <c r="M9" i="8"/>
  <c r="L9" i="8"/>
  <c r="S7" i="8"/>
  <c r="R7" i="8"/>
  <c r="O7" i="8"/>
  <c r="R5" i="8"/>
  <c r="P5" i="8"/>
  <c r="O5" i="8"/>
  <c r="M5" i="8"/>
  <c r="L5" i="8"/>
  <c r="S4" i="8"/>
  <c r="R4" i="8"/>
  <c r="P4" i="8"/>
  <c r="O4" i="8"/>
  <c r="M4" i="8"/>
  <c r="L4" i="8"/>
  <c r="B46" i="26"/>
  <c r="C42" i="26"/>
  <c r="B42" i="26"/>
  <c r="C40" i="26"/>
  <c r="B40" i="26"/>
  <c r="C39" i="26"/>
  <c r="B39" i="26"/>
  <c r="C38" i="26"/>
  <c r="B38" i="26"/>
  <c r="C37" i="26"/>
  <c r="B37" i="26"/>
  <c r="C36" i="26"/>
  <c r="B36" i="26"/>
  <c r="C35" i="26"/>
  <c r="B35" i="26"/>
  <c r="C34" i="26"/>
  <c r="B34" i="26"/>
  <c r="C33" i="26"/>
  <c r="B33" i="26"/>
  <c r="C32" i="26"/>
  <c r="B32" i="26"/>
  <c r="C31" i="26"/>
  <c r="B31" i="26"/>
  <c r="C30" i="26"/>
  <c r="B30" i="26"/>
  <c r="C29" i="26"/>
  <c r="B29" i="26"/>
  <c r="C28" i="26"/>
  <c r="B28" i="26"/>
  <c r="B26" i="26"/>
  <c r="C23" i="26"/>
  <c r="B23" i="26"/>
  <c r="C22" i="26"/>
  <c r="B22" i="26"/>
  <c r="C21" i="26"/>
  <c r="B21" i="26"/>
  <c r="C20" i="26"/>
  <c r="B20" i="26"/>
  <c r="C19" i="26"/>
  <c r="B19" i="26"/>
  <c r="C18" i="26"/>
  <c r="B18" i="26"/>
  <c r="B17" i="26"/>
  <c r="C16" i="26"/>
  <c r="B16" i="26"/>
  <c r="C15" i="26"/>
  <c r="B15" i="26"/>
  <c r="C14" i="26"/>
  <c r="B14" i="26"/>
  <c r="C13" i="26"/>
  <c r="B13" i="26"/>
  <c r="C12" i="26"/>
  <c r="B12" i="26"/>
  <c r="C11" i="26"/>
  <c r="B11" i="26"/>
  <c r="C10" i="26"/>
  <c r="B10" i="26"/>
  <c r="C9" i="26"/>
  <c r="B9" i="26"/>
  <c r="C8" i="26"/>
  <c r="B8" i="26"/>
  <c r="C7" i="26"/>
  <c r="B7" i="26"/>
  <c r="C6" i="26"/>
  <c r="B6" i="26"/>
  <c r="C5" i="26"/>
  <c r="B5" i="26"/>
  <c r="C4" i="26"/>
  <c r="B4" i="26"/>
  <c r="B3" i="26"/>
  <c r="D26" i="26"/>
  <c r="D46" i="26" s="1"/>
  <c r="J9" i="8"/>
  <c r="J5" i="8"/>
  <c r="J4" i="8"/>
  <c r="I4" i="8"/>
  <c r="J16" i="8"/>
  <c r="I16" i="8"/>
  <c r="J15" i="8"/>
  <c r="I15" i="8"/>
  <c r="J14" i="8"/>
  <c r="J13" i="8"/>
  <c r="I13" i="8"/>
  <c r="J21" i="8"/>
  <c r="I21" i="8"/>
  <c r="H40" i="8"/>
  <c r="H40" i="26" s="1"/>
  <c r="S40" i="8"/>
  <c r="P40" i="8"/>
  <c r="M40" i="8"/>
  <c r="H39" i="8"/>
  <c r="H39" i="26" s="1"/>
  <c r="S39" i="8"/>
  <c r="P39" i="8"/>
  <c r="M39" i="8"/>
  <c r="H34" i="8"/>
  <c r="H34" i="26" s="1"/>
  <c r="H31" i="8"/>
  <c r="H31" i="26" s="1"/>
  <c r="N39" i="26" l="1"/>
  <c r="I40" i="26"/>
  <c r="J40" i="26" s="1"/>
  <c r="K40" i="26" s="1"/>
  <c r="N40" i="26"/>
  <c r="I34" i="26"/>
  <c r="J34" i="26" s="1"/>
  <c r="K34" i="26" s="1"/>
  <c r="N34" i="26"/>
  <c r="I31" i="26"/>
  <c r="J31" i="26" s="1"/>
  <c r="K31" i="26" s="1"/>
  <c r="N31" i="26"/>
  <c r="L15" i="22"/>
  <c r="L5" i="22"/>
  <c r="L10" i="22"/>
  <c r="L22" i="22"/>
  <c r="L16" i="22"/>
  <c r="L4" i="22"/>
  <c r="L20" i="22"/>
  <c r="L9" i="22"/>
  <c r="L23" i="22"/>
  <c r="L21" i="22"/>
  <c r="L19" i="22"/>
  <c r="L18" i="22"/>
  <c r="L11" i="22"/>
  <c r="L7" i="22"/>
  <c r="L12" i="22"/>
  <c r="J15" i="21"/>
  <c r="K11" i="21"/>
  <c r="J11" i="21"/>
  <c r="K9" i="21"/>
  <c r="J9" i="21"/>
  <c r="K8" i="21"/>
  <c r="J17" i="21"/>
  <c r="K16" i="21"/>
  <c r="J16" i="21"/>
  <c r="K15" i="21"/>
  <c r="J8" i="21"/>
  <c r="K14" i="21"/>
  <c r="J14" i="21"/>
  <c r="K12" i="21"/>
  <c r="J12" i="21"/>
  <c r="K16" i="20"/>
  <c r="J14" i="20"/>
  <c r="K21" i="18"/>
  <c r="J18" i="20"/>
  <c r="J21" i="18"/>
  <c r="K13" i="20"/>
  <c r="K20" i="20"/>
  <c r="K18" i="20"/>
  <c r="K15" i="20"/>
  <c r="K14" i="20"/>
  <c r="J13" i="20"/>
  <c r="K17" i="20"/>
  <c r="J17" i="20"/>
  <c r="J15" i="20"/>
  <c r="K12" i="20"/>
  <c r="J12" i="20"/>
  <c r="K10" i="20"/>
  <c r="K8" i="20"/>
  <c r="J8" i="20"/>
  <c r="K6" i="20"/>
  <c r="K4" i="20"/>
  <c r="J4" i="20"/>
  <c r="K3" i="20"/>
  <c r="J3" i="20"/>
  <c r="I39" i="26"/>
  <c r="L31" i="8"/>
  <c r="CG79" i="4"/>
  <c r="CQ79" i="4"/>
  <c r="F30" i="7"/>
  <c r="S71" i="11"/>
  <c r="CE79" i="4"/>
  <c r="CD79" i="4"/>
  <c r="P76" i="11"/>
  <c r="R75" i="11"/>
  <c r="S75" i="11" s="1"/>
  <c r="I39" i="8"/>
  <c r="L34" i="8"/>
  <c r="L39" i="8"/>
  <c r="L40" i="8"/>
  <c r="I40" i="8"/>
  <c r="R68" i="11"/>
  <c r="S68" i="11" s="1"/>
  <c r="E6" i="18"/>
  <c r="CG36" i="10"/>
  <c r="CJ36" i="10"/>
  <c r="R64" i="11"/>
  <c r="R55" i="11"/>
  <c r="S32" i="11"/>
  <c r="S38" i="11"/>
  <c r="S15" i="11"/>
  <c r="D37" i="7"/>
  <c r="D58" i="7" s="1"/>
  <c r="F33" i="7"/>
  <c r="CL36" i="10"/>
  <c r="CM36" i="10"/>
  <c r="J18" i="18" l="1"/>
  <c r="J15" i="22"/>
  <c r="H15" i="22"/>
  <c r="I15" i="22"/>
  <c r="H5" i="22"/>
  <c r="I5" i="22"/>
  <c r="J5" i="22"/>
  <c r="H10" i="22"/>
  <c r="J10" i="22"/>
  <c r="I10" i="22"/>
  <c r="J22" i="22"/>
  <c r="I22" i="22"/>
  <c r="H22" i="22"/>
  <c r="J16" i="22"/>
  <c r="I16" i="22"/>
  <c r="H16" i="22"/>
  <c r="J4" i="22"/>
  <c r="H4" i="22"/>
  <c r="I4" i="22"/>
  <c r="H20" i="22"/>
  <c r="I20" i="22"/>
  <c r="J20" i="22"/>
  <c r="J9" i="22"/>
  <c r="I9" i="22"/>
  <c r="H9" i="22"/>
  <c r="I23" i="22"/>
  <c r="H23" i="22"/>
  <c r="J23" i="22"/>
  <c r="I21" i="22"/>
  <c r="H21" i="22"/>
  <c r="J21" i="22"/>
  <c r="I19" i="22"/>
  <c r="J19" i="22"/>
  <c r="H19" i="22"/>
  <c r="H18" i="22"/>
  <c r="J18" i="22"/>
  <c r="I18" i="22"/>
  <c r="I11" i="22"/>
  <c r="H11" i="22"/>
  <c r="J11" i="22"/>
  <c r="J7" i="22"/>
  <c r="H7" i="22"/>
  <c r="I7" i="22"/>
  <c r="H12" i="22"/>
  <c r="J12" i="22"/>
  <c r="I12" i="22"/>
  <c r="L8" i="21"/>
  <c r="L16" i="21"/>
  <c r="L17" i="20"/>
  <c r="L15" i="20"/>
  <c r="L3" i="20"/>
  <c r="K11" i="20"/>
  <c r="L11" i="21"/>
  <c r="L14" i="20"/>
  <c r="L13" i="20"/>
  <c r="L12" i="20"/>
  <c r="K9" i="20"/>
  <c r="L9" i="21"/>
  <c r="L12" i="21"/>
  <c r="K8" i="18"/>
  <c r="K18" i="18"/>
  <c r="K12" i="18"/>
  <c r="K10" i="18"/>
  <c r="K20" i="18"/>
  <c r="K14" i="18"/>
  <c r="K16" i="18"/>
  <c r="J9" i="20"/>
  <c r="L8" i="20"/>
  <c r="J5" i="20"/>
  <c r="L4" i="20"/>
  <c r="L15" i="21"/>
  <c r="L18" i="20"/>
  <c r="K21" i="20"/>
  <c r="K19" i="20"/>
  <c r="K7" i="20"/>
  <c r="K5" i="20"/>
  <c r="K5" i="21"/>
  <c r="J39" i="26"/>
  <c r="J7" i="21"/>
  <c r="K10" i="21"/>
  <c r="K6" i="21"/>
  <c r="K7" i="21"/>
  <c r="J6" i="21"/>
  <c r="J13" i="21"/>
  <c r="J5" i="21"/>
  <c r="J10" i="21"/>
  <c r="K13" i="21"/>
  <c r="D57" i="7"/>
  <c r="G33" i="7"/>
  <c r="J16" i="18"/>
  <c r="G38" i="7"/>
  <c r="G39" i="7"/>
  <c r="G30" i="7"/>
  <c r="D56" i="7"/>
  <c r="D42" i="7"/>
  <c r="E4" i="18"/>
  <c r="E20" i="18"/>
  <c r="R76" i="11"/>
  <c r="J8" i="18"/>
  <c r="J4" i="18"/>
  <c r="J12" i="18"/>
  <c r="J14" i="18"/>
  <c r="J10" i="18"/>
  <c r="L19" i="18"/>
  <c r="R69" i="11"/>
  <c r="D49" i="7"/>
  <c r="D51" i="7"/>
  <c r="D54" i="7"/>
  <c r="D46" i="7"/>
  <c r="D53" i="7"/>
  <c r="D55" i="7"/>
  <c r="D50" i="7"/>
  <c r="D47" i="7"/>
  <c r="D52" i="7"/>
  <c r="D48" i="7"/>
  <c r="D45" i="7"/>
  <c r="J17" i="22" l="1"/>
  <c r="K4" i="21"/>
  <c r="K3" i="21"/>
  <c r="J4" i="21"/>
  <c r="J3" i="21"/>
  <c r="J14" i="22"/>
  <c r="L9" i="20"/>
  <c r="L10" i="21"/>
  <c r="L5" i="20"/>
  <c r="L5" i="21"/>
  <c r="K39" i="26"/>
  <c r="L13" i="21"/>
  <c r="L6" i="21"/>
  <c r="L7" i="21"/>
  <c r="H30" i="7"/>
  <c r="H38" i="7"/>
  <c r="H33" i="7"/>
  <c r="J6" i="18"/>
  <c r="J20" i="18"/>
  <c r="J25" i="22" l="1"/>
  <c r="J29" i="22"/>
  <c r="K33" i="21"/>
  <c r="L3" i="21"/>
  <c r="J21" i="21"/>
  <c r="J33" i="21"/>
  <c r="K23" i="21"/>
  <c r="K29" i="21"/>
  <c r="K27" i="21"/>
  <c r="K24" i="21"/>
  <c r="K30" i="21"/>
  <c r="K32" i="21"/>
  <c r="K25" i="21"/>
  <c r="K31" i="21"/>
  <c r="K28" i="21"/>
  <c r="K20" i="21"/>
  <c r="J26" i="21"/>
  <c r="J29" i="21"/>
  <c r="J30" i="21"/>
  <c r="J24" i="21"/>
  <c r="J28" i="21"/>
  <c r="J22" i="21"/>
  <c r="J23" i="21"/>
  <c r="J25" i="21"/>
  <c r="J32" i="21"/>
  <c r="J27" i="21"/>
  <c r="J31" i="21"/>
  <c r="J20" i="21"/>
  <c r="K21" i="21"/>
  <c r="K26" i="21"/>
  <c r="K22" i="21"/>
  <c r="C62" i="8"/>
  <c r="B62" i="8"/>
  <c r="C60" i="8"/>
  <c r="B60" i="8"/>
  <c r="C59" i="8"/>
  <c r="B59" i="8"/>
  <c r="C58" i="8"/>
  <c r="B58" i="8"/>
  <c r="C57" i="8"/>
  <c r="B57" i="8"/>
  <c r="C56" i="8"/>
  <c r="B56" i="8"/>
  <c r="C55" i="8"/>
  <c r="B55" i="8"/>
  <c r="B54" i="8"/>
  <c r="C53" i="8"/>
  <c r="B53" i="8"/>
  <c r="C52" i="8"/>
  <c r="B52" i="8"/>
  <c r="C51" i="8"/>
  <c r="B51" i="8"/>
  <c r="C50" i="8"/>
  <c r="B50" i="8"/>
  <c r="C49" i="8"/>
  <c r="B49" i="8"/>
  <c r="C48" i="8"/>
  <c r="B48" i="8"/>
  <c r="L4" i="21" l="1"/>
  <c r="L21" i="21"/>
  <c r="L22" i="21"/>
  <c r="L23" i="21"/>
  <c r="L30" i="21"/>
  <c r="L29" i="21"/>
  <c r="L33" i="21"/>
  <c r="L28" i="21"/>
  <c r="L20" i="21"/>
  <c r="L31" i="21"/>
  <c r="L24" i="21"/>
  <c r="L27" i="21"/>
  <c r="L26" i="21"/>
  <c r="L32" i="21"/>
  <c r="L25" i="21"/>
  <c r="B62" i="26"/>
  <c r="B58" i="7"/>
  <c r="C62" i="26"/>
  <c r="C58" i="7"/>
  <c r="B55" i="7"/>
  <c r="B58" i="26"/>
  <c r="C55" i="7"/>
  <c r="C58" i="26"/>
  <c r="B56" i="7"/>
  <c r="B59" i="26"/>
  <c r="C50" i="7"/>
  <c r="C53" i="26"/>
  <c r="B51" i="26"/>
  <c r="B48" i="7"/>
  <c r="C56" i="7"/>
  <c r="C59" i="26"/>
  <c r="B52" i="7"/>
  <c r="B55" i="26"/>
  <c r="B56" i="26"/>
  <c r="B53" i="7"/>
  <c r="B57" i="7"/>
  <c r="B60" i="26"/>
  <c r="B51" i="7"/>
  <c r="B54" i="26"/>
  <c r="B49" i="7"/>
  <c r="B52" i="26"/>
  <c r="C56" i="26"/>
  <c r="C53" i="7"/>
  <c r="C57" i="7"/>
  <c r="C60" i="26"/>
  <c r="B50" i="26"/>
  <c r="B47" i="7"/>
  <c r="C52" i="7"/>
  <c r="C55" i="26"/>
  <c r="B46" i="7"/>
  <c r="B49" i="26"/>
  <c r="B50" i="7"/>
  <c r="B53" i="26"/>
  <c r="C54" i="7"/>
  <c r="C57" i="26"/>
  <c r="C54" i="26"/>
  <c r="C51" i="7"/>
  <c r="C49" i="7"/>
  <c r="C52" i="26"/>
  <c r="C47" i="7"/>
  <c r="C50" i="26"/>
  <c r="C46" i="7"/>
  <c r="C49" i="26"/>
  <c r="C48" i="7"/>
  <c r="C51" i="26"/>
  <c r="B57" i="26"/>
  <c r="B54" i="7"/>
  <c r="C48" i="26"/>
  <c r="C45" i="7"/>
  <c r="B45" i="7"/>
  <c r="B48" i="26"/>
  <c r="J40" i="8"/>
  <c r="J39" i="8"/>
  <c r="H38" i="8"/>
  <c r="H38" i="26" s="1"/>
  <c r="H28" i="8"/>
  <c r="H28" i="26" s="1"/>
  <c r="S28" i="8"/>
  <c r="P28" i="8"/>
  <c r="P34" i="8"/>
  <c r="J34" i="8"/>
  <c r="P31" i="8"/>
  <c r="J31" i="8"/>
  <c r="G26" i="8"/>
  <c r="F26" i="8"/>
  <c r="E26" i="8"/>
  <c r="D26" i="8"/>
  <c r="H6" i="8"/>
  <c r="H7" i="8"/>
  <c r="H10" i="8"/>
  <c r="H26" i="8"/>
  <c r="I26" i="8"/>
  <c r="J26" i="8"/>
  <c r="N38" i="26" l="1"/>
  <c r="N28" i="26"/>
  <c r="G16" i="21"/>
  <c r="G15" i="21"/>
  <c r="G12" i="21"/>
  <c r="G9" i="21"/>
  <c r="G17" i="21"/>
  <c r="G14" i="21"/>
  <c r="G11" i="21"/>
  <c r="G8" i="21"/>
  <c r="D64" i="8"/>
  <c r="D92" i="8" s="1"/>
  <c r="E15" i="21"/>
  <c r="E17" i="21"/>
  <c r="E16" i="21"/>
  <c r="D16" i="21"/>
  <c r="E14" i="21"/>
  <c r="D12" i="21"/>
  <c r="E9" i="21"/>
  <c r="D17" i="21"/>
  <c r="H17" i="21" s="1"/>
  <c r="D15" i="21"/>
  <c r="D14" i="21"/>
  <c r="E12" i="21"/>
  <c r="E11" i="21"/>
  <c r="D11" i="21"/>
  <c r="D9" i="21"/>
  <c r="D8" i="21"/>
  <c r="E8" i="21"/>
  <c r="H7" i="26"/>
  <c r="G6" i="20"/>
  <c r="H62" i="26"/>
  <c r="I38" i="26"/>
  <c r="I28" i="26"/>
  <c r="H11" i="8"/>
  <c r="H27" i="8"/>
  <c r="H27" i="26" s="1"/>
  <c r="H44" i="8"/>
  <c r="G46" i="8"/>
  <c r="G64" i="8"/>
  <c r="G92" i="8" s="1"/>
  <c r="F46" i="8"/>
  <c r="F64" i="8"/>
  <c r="F92" i="8" s="1"/>
  <c r="E46" i="8"/>
  <c r="E64" i="8"/>
  <c r="E92" i="8" s="1"/>
  <c r="H46" i="8"/>
  <c r="H64" i="8"/>
  <c r="H92" i="8" s="1"/>
  <c r="S22" i="8"/>
  <c r="S31" i="8"/>
  <c r="I31" i="8"/>
  <c r="I5" i="8"/>
  <c r="S5" i="8"/>
  <c r="S9" i="8"/>
  <c r="I9" i="8"/>
  <c r="D46" i="8"/>
  <c r="M34" i="8"/>
  <c r="E7" i="20"/>
  <c r="F44" i="8"/>
  <c r="P38" i="8"/>
  <c r="P7" i="8"/>
  <c r="M7" i="8"/>
  <c r="M31" i="8"/>
  <c r="M28" i="8"/>
  <c r="L28" i="8"/>
  <c r="I28" i="8"/>
  <c r="L38" i="8"/>
  <c r="J7" i="8"/>
  <c r="L7" i="8"/>
  <c r="I7" i="8"/>
  <c r="S38" i="8"/>
  <c r="I38" i="8"/>
  <c r="G44" i="8"/>
  <c r="I34" i="8"/>
  <c r="S34" i="8"/>
  <c r="D44" i="8"/>
  <c r="J28" i="8"/>
  <c r="P22" i="8"/>
  <c r="H8" i="8"/>
  <c r="H58" i="26" l="1"/>
  <c r="H48" i="26"/>
  <c r="N27" i="26"/>
  <c r="H61" i="26"/>
  <c r="H49" i="26"/>
  <c r="H56" i="26"/>
  <c r="H50" i="26"/>
  <c r="H53" i="26"/>
  <c r="H57" i="26"/>
  <c r="H55" i="26"/>
  <c r="H52" i="26"/>
  <c r="H60" i="26"/>
  <c r="H54" i="26"/>
  <c r="H51" i="26"/>
  <c r="H59" i="26"/>
  <c r="G7" i="20"/>
  <c r="D5" i="21"/>
  <c r="E5" i="21"/>
  <c r="E6" i="21"/>
  <c r="E13" i="21"/>
  <c r="I7" i="26"/>
  <c r="H8" i="26"/>
  <c r="D6" i="21"/>
  <c r="H11" i="26"/>
  <c r="G10" i="20"/>
  <c r="J38" i="26"/>
  <c r="I62" i="26"/>
  <c r="J28" i="26"/>
  <c r="I27" i="26"/>
  <c r="H47" i="26"/>
  <c r="L27" i="8"/>
  <c r="H48" i="8"/>
  <c r="L48" i="8" s="1"/>
  <c r="H47" i="8"/>
  <c r="H61" i="8"/>
  <c r="L61" i="8" s="1"/>
  <c r="H57" i="8"/>
  <c r="L57" i="8" s="1"/>
  <c r="H56" i="8"/>
  <c r="L56" i="8" s="1"/>
  <c r="H55" i="8"/>
  <c r="L55" i="8" s="1"/>
  <c r="H53" i="8"/>
  <c r="L53" i="8" s="1"/>
  <c r="H52" i="8"/>
  <c r="L52" i="8" s="1"/>
  <c r="H50" i="8"/>
  <c r="L50" i="8" s="1"/>
  <c r="H49" i="8"/>
  <c r="L49" i="8" s="1"/>
  <c r="H51" i="8"/>
  <c r="L51" i="8" s="1"/>
  <c r="H60" i="8"/>
  <c r="L60" i="8" s="1"/>
  <c r="H59" i="8"/>
  <c r="L59" i="8" s="1"/>
  <c r="H54" i="8"/>
  <c r="L54" i="8" s="1"/>
  <c r="H58" i="8"/>
  <c r="L58" i="8" s="1"/>
  <c r="I27" i="8"/>
  <c r="J27" i="8"/>
  <c r="H22" i="8"/>
  <c r="G27" i="7"/>
  <c r="G8" i="26"/>
  <c r="G8" i="7" s="1"/>
  <c r="G7" i="7"/>
  <c r="H17" i="8"/>
  <c r="E8" i="26"/>
  <c r="F8" i="26"/>
  <c r="J8" i="8"/>
  <c r="I8" i="8"/>
  <c r="P11" i="8"/>
  <c r="D11" i="20"/>
  <c r="E48" i="26"/>
  <c r="E62" i="26"/>
  <c r="E56" i="26"/>
  <c r="E57" i="26"/>
  <c r="E49" i="26"/>
  <c r="E50" i="26"/>
  <c r="E52" i="26"/>
  <c r="E53" i="26"/>
  <c r="E55" i="26"/>
  <c r="E54" i="26"/>
  <c r="E59" i="26"/>
  <c r="E60" i="26"/>
  <c r="E51" i="26"/>
  <c r="P18" i="8"/>
  <c r="D13" i="21"/>
  <c r="G10" i="21"/>
  <c r="E10" i="21"/>
  <c r="G6" i="21"/>
  <c r="G13" i="21"/>
  <c r="M38" i="8"/>
  <c r="E44" i="8"/>
  <c r="D10" i="21"/>
  <c r="E11" i="20"/>
  <c r="D7" i="21"/>
  <c r="E7" i="21"/>
  <c r="M11" i="8"/>
  <c r="G7" i="21"/>
  <c r="G5" i="21"/>
  <c r="J38" i="8"/>
  <c r="D56" i="26"/>
  <c r="D54" i="26"/>
  <c r="D52" i="26"/>
  <c r="D51" i="26"/>
  <c r="D50" i="26"/>
  <c r="D53" i="26"/>
  <c r="D49" i="26"/>
  <c r="D60" i="26"/>
  <c r="D59" i="26"/>
  <c r="D57" i="26"/>
  <c r="D48" i="26"/>
  <c r="D55" i="26"/>
  <c r="D62" i="26"/>
  <c r="I11" i="8"/>
  <c r="L11" i="8"/>
  <c r="J11" i="8"/>
  <c r="D8" i="26"/>
  <c r="H12" i="8"/>
  <c r="G11" i="20" l="1"/>
  <c r="E4" i="21"/>
  <c r="G3" i="21"/>
  <c r="I47" i="26"/>
  <c r="I52" i="26"/>
  <c r="I49" i="26"/>
  <c r="I61" i="26"/>
  <c r="I53" i="26"/>
  <c r="I55" i="26"/>
  <c r="I56" i="26"/>
  <c r="I57" i="26"/>
  <c r="I50" i="26"/>
  <c r="I60" i="26"/>
  <c r="I54" i="26"/>
  <c r="I51" i="26"/>
  <c r="I59" i="26"/>
  <c r="I58" i="26"/>
  <c r="I48" i="26"/>
  <c r="J6" i="20"/>
  <c r="I8" i="26"/>
  <c r="J7" i="26"/>
  <c r="H12" i="26"/>
  <c r="I11" i="26"/>
  <c r="D4" i="21"/>
  <c r="D3" i="21"/>
  <c r="H22" i="26"/>
  <c r="G20" i="20"/>
  <c r="H17" i="26"/>
  <c r="I17" i="26" s="1"/>
  <c r="G16" i="20"/>
  <c r="J59" i="26"/>
  <c r="K38" i="26"/>
  <c r="J47" i="26"/>
  <c r="J57" i="26"/>
  <c r="J55" i="26"/>
  <c r="J50" i="26"/>
  <c r="J51" i="26"/>
  <c r="J58" i="26"/>
  <c r="J62" i="26"/>
  <c r="J54" i="26"/>
  <c r="J53" i="26"/>
  <c r="J52" i="26"/>
  <c r="J49" i="26"/>
  <c r="J56" i="26"/>
  <c r="J60" i="26"/>
  <c r="J48" i="26"/>
  <c r="K28" i="26"/>
  <c r="J48" i="8"/>
  <c r="I48" i="8"/>
  <c r="I61" i="8"/>
  <c r="J61" i="8"/>
  <c r="I57" i="8"/>
  <c r="J57" i="8"/>
  <c r="I56" i="8"/>
  <c r="J56" i="8"/>
  <c r="I55" i="8"/>
  <c r="J55" i="8"/>
  <c r="I53" i="8"/>
  <c r="J53" i="8"/>
  <c r="I52" i="8"/>
  <c r="J52" i="8"/>
  <c r="I50" i="8"/>
  <c r="J50" i="8"/>
  <c r="I49" i="8"/>
  <c r="J49" i="8"/>
  <c r="J51" i="8"/>
  <c r="I51" i="8"/>
  <c r="J60" i="8"/>
  <c r="I60" i="8"/>
  <c r="J59" i="8"/>
  <c r="I59" i="8"/>
  <c r="J54" i="8"/>
  <c r="I54" i="8"/>
  <c r="J58" i="8"/>
  <c r="I58" i="8"/>
  <c r="G4" i="21"/>
  <c r="G17" i="7"/>
  <c r="H7" i="7"/>
  <c r="G37" i="7"/>
  <c r="G45" i="7" s="1"/>
  <c r="G49" i="26"/>
  <c r="G52" i="26"/>
  <c r="G57" i="26"/>
  <c r="G55" i="26"/>
  <c r="G50" i="26"/>
  <c r="G56" i="26"/>
  <c r="G53" i="26"/>
  <c r="G59" i="26"/>
  <c r="G54" i="26"/>
  <c r="G60" i="26"/>
  <c r="G51" i="26"/>
  <c r="G48" i="26"/>
  <c r="H27" i="7"/>
  <c r="D23" i="26"/>
  <c r="D12" i="26"/>
  <c r="E3" i="21"/>
  <c r="F53" i="26"/>
  <c r="F57" i="26"/>
  <c r="F62" i="26"/>
  <c r="F55" i="26"/>
  <c r="F56" i="26"/>
  <c r="F49" i="26"/>
  <c r="F50" i="26"/>
  <c r="F52" i="26"/>
  <c r="F54" i="26"/>
  <c r="F60" i="26"/>
  <c r="F59" i="26"/>
  <c r="F51" i="26"/>
  <c r="F48" i="26"/>
  <c r="F11" i="20"/>
  <c r="P17" i="8"/>
  <c r="H23" i="8"/>
  <c r="M18" i="8"/>
  <c r="P19" i="8"/>
  <c r="E21" i="20"/>
  <c r="M17" i="8"/>
  <c r="M22" i="8"/>
  <c r="AF3" i="27"/>
  <c r="L17" i="8"/>
  <c r="L22" i="8"/>
  <c r="J22" i="8"/>
  <c r="I22" i="8"/>
  <c r="CD36" i="10"/>
  <c r="J17" i="8"/>
  <c r="CC36" i="10"/>
  <c r="G21" i="20" l="1"/>
  <c r="F4" i="21"/>
  <c r="D33" i="21"/>
  <c r="K48" i="26"/>
  <c r="J8" i="26"/>
  <c r="K7" i="26"/>
  <c r="J10" i="20"/>
  <c r="I12" i="26"/>
  <c r="J11" i="26"/>
  <c r="I22" i="26"/>
  <c r="H23" i="26"/>
  <c r="J16" i="20"/>
  <c r="J17" i="26"/>
  <c r="K17" i="26" s="1"/>
  <c r="L6" i="20"/>
  <c r="J7" i="20"/>
  <c r="K59" i="26"/>
  <c r="K49" i="26"/>
  <c r="K57" i="26"/>
  <c r="K54" i="26"/>
  <c r="K52" i="26"/>
  <c r="K56" i="26"/>
  <c r="K55" i="26"/>
  <c r="K53" i="26"/>
  <c r="K58" i="26"/>
  <c r="K60" i="26"/>
  <c r="K50" i="26"/>
  <c r="K51" i="26"/>
  <c r="H4" i="21"/>
  <c r="H11" i="20"/>
  <c r="E29" i="21"/>
  <c r="E33" i="21"/>
  <c r="G26" i="21"/>
  <c r="G33" i="21"/>
  <c r="H17" i="7"/>
  <c r="G22" i="21"/>
  <c r="G21" i="21"/>
  <c r="E22" i="21"/>
  <c r="E21" i="21"/>
  <c r="E23" i="21"/>
  <c r="E26" i="21"/>
  <c r="D20" i="21"/>
  <c r="D32" i="21"/>
  <c r="D24" i="21"/>
  <c r="D25" i="21"/>
  <c r="D28" i="21"/>
  <c r="D27" i="21"/>
  <c r="D30" i="21"/>
  <c r="D31" i="21"/>
  <c r="D21" i="21"/>
  <c r="G29" i="21"/>
  <c r="D22" i="21"/>
  <c r="D23" i="21"/>
  <c r="D29" i="21"/>
  <c r="D26" i="21"/>
  <c r="G20" i="21"/>
  <c r="G28" i="21"/>
  <c r="G30" i="21"/>
  <c r="G32" i="21"/>
  <c r="G24" i="21"/>
  <c r="G27" i="21"/>
  <c r="G31" i="21"/>
  <c r="G25" i="21"/>
  <c r="E20" i="21"/>
  <c r="E28" i="21"/>
  <c r="E30" i="21"/>
  <c r="E32" i="21"/>
  <c r="E27" i="21"/>
  <c r="E31" i="21"/>
  <c r="E25" i="21"/>
  <c r="E24" i="21"/>
  <c r="G23" i="21"/>
  <c r="G55" i="7"/>
  <c r="G49" i="7"/>
  <c r="G47" i="7"/>
  <c r="G50" i="7"/>
  <c r="G52" i="7"/>
  <c r="G54" i="7"/>
  <c r="G53" i="7"/>
  <c r="G46" i="7"/>
  <c r="G56" i="7"/>
  <c r="G51" i="7"/>
  <c r="G48" i="7"/>
  <c r="G57" i="7"/>
  <c r="E12" i="26"/>
  <c r="E23" i="26"/>
  <c r="AG3" i="27"/>
  <c r="K5" i="18" s="1"/>
  <c r="AF36" i="27"/>
  <c r="M19" i="8"/>
  <c r="F33" i="21" l="1"/>
  <c r="H33" i="21"/>
  <c r="L10" i="20"/>
  <c r="L16" i="20"/>
  <c r="L7" i="20"/>
  <c r="K6" i="18"/>
  <c r="L5" i="18"/>
  <c r="K8" i="26"/>
  <c r="K27" i="26"/>
  <c r="K47" i="26" s="1"/>
  <c r="J12" i="26"/>
  <c r="K11" i="26"/>
  <c r="K12" i="26" s="1"/>
  <c r="J20" i="20"/>
  <c r="J22" i="26"/>
  <c r="I23" i="26"/>
  <c r="H26" i="21"/>
  <c r="F26" i="21"/>
  <c r="H29" i="21"/>
  <c r="F29" i="21"/>
  <c r="F23" i="21"/>
  <c r="H23" i="21"/>
  <c r="F22" i="21"/>
  <c r="H22" i="21"/>
  <c r="H21" i="21"/>
  <c r="F21" i="21"/>
  <c r="F31" i="21"/>
  <c r="H31" i="21"/>
  <c r="H30" i="21"/>
  <c r="F30" i="21"/>
  <c r="H27" i="21"/>
  <c r="F27" i="21"/>
  <c r="H28" i="21"/>
  <c r="F28" i="21"/>
  <c r="H25" i="21"/>
  <c r="F25" i="21"/>
  <c r="H24" i="21"/>
  <c r="F24" i="21"/>
  <c r="H32" i="21"/>
  <c r="F32" i="21"/>
  <c r="H20" i="21"/>
  <c r="F23" i="26"/>
  <c r="G11" i="7"/>
  <c r="G12" i="26"/>
  <c r="G12" i="7" s="1"/>
  <c r="AG36" i="27"/>
  <c r="K3" i="18" s="1"/>
  <c r="AH3" i="27"/>
  <c r="AI3" i="27" s="1"/>
  <c r="S3" i="5" s="1"/>
  <c r="F12" i="26"/>
  <c r="L20" i="20" l="1"/>
  <c r="K4" i="18"/>
  <c r="L3" i="18"/>
  <c r="J23" i="26"/>
  <c r="K22" i="26"/>
  <c r="K23" i="26" s="1"/>
  <c r="H11" i="7"/>
  <c r="J11" i="20"/>
  <c r="T3" i="5"/>
  <c r="G22" i="7"/>
  <c r="G23" i="26"/>
  <c r="G23" i="7" s="1"/>
  <c r="AH36" i="27"/>
  <c r="E62" i="7"/>
  <c r="L11" i="20" l="1"/>
  <c r="H22" i="7"/>
  <c r="J21" i="20"/>
  <c r="AI36" i="27"/>
  <c r="S36" i="5" s="1"/>
  <c r="T36" i="5" s="1"/>
  <c r="F40" i="7"/>
  <c r="L21" i="20" l="1"/>
  <c r="F29" i="7"/>
  <c r="F6" i="22"/>
  <c r="A6" i="22" s="1"/>
  <c r="K6" i="22" s="1"/>
  <c r="L6" i="22" l="1"/>
  <c r="F15" i="7"/>
  <c r="F21" i="7"/>
  <c r="F14" i="7"/>
  <c r="F13" i="7"/>
  <c r="F16" i="7"/>
  <c r="F4" i="7"/>
  <c r="F28" i="7"/>
  <c r="H6" i="22" l="1"/>
  <c r="J6" i="22"/>
  <c r="I6" i="22"/>
  <c r="K8" i="22"/>
  <c r="F18" i="7"/>
  <c r="F9" i="7"/>
  <c r="F5" i="7"/>
  <c r="K3" i="22" l="1"/>
  <c r="K13" i="22"/>
  <c r="J13" i="22"/>
  <c r="I3" i="22"/>
  <c r="I14" i="22"/>
  <c r="I17" i="22"/>
  <c r="J8" i="22"/>
  <c r="J3" i="22"/>
  <c r="J28" i="22"/>
  <c r="I13" i="22"/>
  <c r="I8" i="22"/>
  <c r="I28" i="22"/>
  <c r="F7" i="7"/>
  <c r="I29" i="22" l="1"/>
  <c r="I25" i="22"/>
  <c r="F11" i="7"/>
  <c r="F17" i="7" l="1"/>
  <c r="F19" i="7" l="1"/>
  <c r="D14" i="18" l="1"/>
  <c r="D8" i="18"/>
  <c r="D16" i="18"/>
  <c r="D12" i="18"/>
  <c r="D6" i="18"/>
  <c r="D10" i="18"/>
  <c r="CC64" i="4" l="1"/>
  <c r="CG64" i="4" l="1"/>
  <c r="CQ64" i="4"/>
  <c r="CD64" i="4"/>
  <c r="CE64" i="4"/>
  <c r="CD7" i="10"/>
  <c r="CC7" i="10"/>
  <c r="CD6" i="10"/>
  <c r="CC6" i="10"/>
  <c r="CD5" i="10"/>
  <c r="CC5" i="10"/>
  <c r="CD4" i="10"/>
  <c r="CC4" i="10"/>
  <c r="CC74" i="4"/>
  <c r="CC71" i="4"/>
  <c r="CC67" i="4"/>
  <c r="CC58" i="4"/>
  <c r="CC47" i="4"/>
  <c r="CC15" i="4"/>
  <c r="CC4" i="4"/>
  <c r="CG74" i="4" l="1"/>
  <c r="CQ74" i="4"/>
  <c r="CG71" i="4"/>
  <c r="CQ71" i="4"/>
  <c r="CG67" i="4"/>
  <c r="CQ67" i="4"/>
  <c r="CG58" i="4"/>
  <c r="CQ58" i="4"/>
  <c r="CG47" i="4"/>
  <c r="CQ47" i="4"/>
  <c r="CG15" i="4"/>
  <c r="CQ15" i="4"/>
  <c r="CG4" i="4"/>
  <c r="CQ4" i="4"/>
  <c r="CE58" i="4"/>
  <c r="CD58" i="4"/>
  <c r="CD67" i="4"/>
  <c r="CE67" i="4"/>
  <c r="CD74" i="4"/>
  <c r="CE74" i="4"/>
  <c r="CE47" i="4"/>
  <c r="CD47" i="4"/>
  <c r="CE4" i="4"/>
  <c r="CD4" i="4"/>
  <c r="CE39" i="4"/>
  <c r="CD39" i="4"/>
  <c r="CD15" i="4"/>
  <c r="CE15" i="4"/>
  <c r="CE71" i="4"/>
  <c r="CD71" i="4"/>
  <c r="CC46" i="4"/>
  <c r="CC80" i="4"/>
  <c r="CC72" i="4"/>
  <c r="CC65" i="4"/>
  <c r="CC27" i="4"/>
  <c r="CC3" i="4"/>
  <c r="CG46" i="4" l="1"/>
  <c r="CQ46" i="4"/>
  <c r="CG27" i="4"/>
  <c r="CQ27" i="4"/>
  <c r="CG3" i="4"/>
  <c r="CQ3" i="4"/>
  <c r="CD46" i="4"/>
  <c r="CE46" i="4"/>
  <c r="CE3" i="4"/>
  <c r="CD3" i="4"/>
  <c r="CD27" i="4"/>
  <c r="CE27" i="4"/>
  <c r="CC54" i="4"/>
  <c r="CG54" i="4" l="1"/>
  <c r="CQ54" i="4"/>
  <c r="CE54" i="4"/>
  <c r="CD54" i="4"/>
  <c r="CC55" i="4"/>
  <c r="F38" i="7"/>
  <c r="F27" i="7"/>
  <c r="P64" i="11" l="1"/>
  <c r="P61" i="11"/>
  <c r="P55" i="11"/>
  <c r="Q44" i="11"/>
  <c r="Q37" i="11"/>
  <c r="Q26" i="11"/>
  <c r="Q14" i="11"/>
  <c r="Q4" i="11"/>
  <c r="Q55" i="11" l="1"/>
  <c r="S55" i="11"/>
  <c r="Q64" i="11"/>
  <c r="S64" i="11"/>
  <c r="S61" i="11"/>
  <c r="Q61" i="11"/>
  <c r="S44" i="11"/>
  <c r="H17" i="22"/>
  <c r="S14" i="11"/>
  <c r="H13" i="22"/>
  <c r="S26" i="11"/>
  <c r="P69" i="11"/>
  <c r="S37" i="11"/>
  <c r="S4" i="11"/>
  <c r="Q25" i="11"/>
  <c r="Q43" i="11"/>
  <c r="P62" i="11"/>
  <c r="Q3" i="11"/>
  <c r="H14" i="22" l="1"/>
  <c r="H8" i="22"/>
  <c r="H3" i="22"/>
  <c r="H28" i="22"/>
  <c r="S25" i="11"/>
  <c r="S3" i="11"/>
  <c r="S43" i="11"/>
  <c r="Q51" i="11"/>
  <c r="H25" i="22" l="1"/>
  <c r="H29" i="22"/>
  <c r="S51" i="11"/>
  <c r="H15" i="20" l="1"/>
  <c r="H14" i="20"/>
  <c r="H13" i="20"/>
  <c r="D5" i="20" l="1"/>
  <c r="F15" i="20"/>
  <c r="F14" i="20"/>
  <c r="D21" i="20"/>
  <c r="H3" i="20"/>
  <c r="H4" i="20"/>
  <c r="D7" i="20"/>
  <c r="D9" i="20"/>
  <c r="F3" i="20"/>
  <c r="F9" i="20" l="1"/>
  <c r="F5" i="20"/>
  <c r="H13" i="18"/>
  <c r="F13" i="18"/>
  <c r="H5" i="18"/>
  <c r="F7" i="18"/>
  <c r="H7" i="18"/>
  <c r="H15" i="18"/>
  <c r="F15" i="18"/>
  <c r="H17" i="18"/>
  <c r="F17" i="18"/>
  <c r="F9" i="18"/>
  <c r="H9" i="18"/>
  <c r="H11" i="18"/>
  <c r="F11" i="18"/>
  <c r="F4" i="20"/>
  <c r="H5" i="20"/>
  <c r="H9" i="20"/>
  <c r="H8" i="20"/>
  <c r="F8" i="20"/>
  <c r="H3" i="21" l="1"/>
  <c r="F3" i="21"/>
  <c r="F16" i="21"/>
  <c r="H16" i="21"/>
  <c r="H6" i="21"/>
  <c r="F6" i="21"/>
  <c r="F5" i="21"/>
  <c r="H5" i="21"/>
  <c r="F10" i="21"/>
  <c r="H10" i="21"/>
  <c r="F13" i="21"/>
  <c r="H13" i="21"/>
  <c r="H14" i="21"/>
  <c r="F15" i="21"/>
  <c r="H15" i="21"/>
  <c r="H11" i="21"/>
  <c r="F11" i="21"/>
  <c r="H8" i="21"/>
  <c r="F8" i="21"/>
  <c r="F7" i="21"/>
  <c r="H7" i="21"/>
  <c r="F9" i="21"/>
  <c r="H9" i="21"/>
  <c r="H12" i="21"/>
  <c r="F12" i="21"/>
  <c r="F20" i="21" l="1"/>
  <c r="H7" i="20"/>
  <c r="H6" i="20" l="1"/>
  <c r="F21" i="20" l="1"/>
  <c r="F20" i="20"/>
  <c r="H20" i="20"/>
  <c r="H21" i="20"/>
  <c r="F6" i="20"/>
  <c r="F7" i="20"/>
  <c r="H10" i="20"/>
  <c r="F10" i="20"/>
  <c r="H16" i="20"/>
  <c r="F22" i="7" l="1"/>
  <c r="R14" i="5" l="1"/>
  <c r="R33" i="5"/>
  <c r="R16" i="5" l="1"/>
  <c r="R23" i="5"/>
  <c r="R5" i="5"/>
  <c r="R17" i="5"/>
  <c r="R4" i="5"/>
  <c r="R29" i="5"/>
  <c r="R19" i="5"/>
  <c r="R25" i="5"/>
  <c r="R30" i="5"/>
  <c r="R18" i="5"/>
  <c r="R8" i="5"/>
  <c r="R26" i="5"/>
  <c r="R7" i="5"/>
  <c r="R24" i="5"/>
  <c r="R10" i="5"/>
  <c r="R20" i="5"/>
  <c r="R27" i="5"/>
  <c r="R9" i="5"/>
  <c r="R12" i="5"/>
  <c r="R21" i="5"/>
  <c r="R28" i="5"/>
  <c r="R31" i="5"/>
  <c r="R3" i="5"/>
  <c r="R15" i="5"/>
  <c r="R22" i="5"/>
  <c r="R6" i="5"/>
  <c r="R13" i="5"/>
  <c r="F5" i="18" l="1"/>
  <c r="E39" i="7" l="1"/>
  <c r="F36" i="7"/>
  <c r="H39" i="7" l="1"/>
  <c r="F39" i="7"/>
  <c r="E37" i="7"/>
  <c r="E58" i="7" l="1"/>
  <c r="F58" i="7" s="1"/>
  <c r="H58" i="7" s="1"/>
  <c r="H37" i="7"/>
  <c r="E57" i="7"/>
  <c r="F57" i="7" s="1"/>
  <c r="H57" i="7" s="1"/>
  <c r="E42" i="7"/>
  <c r="E48" i="7"/>
  <c r="F48" i="7" s="1"/>
  <c r="H48" i="7" s="1"/>
  <c r="E55" i="7"/>
  <c r="F55" i="7" s="1"/>
  <c r="H55" i="7" s="1"/>
  <c r="E47" i="7"/>
  <c r="F47" i="7" s="1"/>
  <c r="H47" i="7" s="1"/>
  <c r="E54" i="7"/>
  <c r="F54" i="7" s="1"/>
  <c r="H54" i="7" s="1"/>
  <c r="E46" i="7"/>
  <c r="F46" i="7" s="1"/>
  <c r="H46" i="7" s="1"/>
  <c r="E53" i="7"/>
  <c r="F53" i="7" s="1"/>
  <c r="H53" i="7" s="1"/>
  <c r="E52" i="7"/>
  <c r="F52" i="7" s="1"/>
  <c r="H52" i="7" s="1"/>
  <c r="E50" i="7"/>
  <c r="F50" i="7" s="1"/>
  <c r="H50" i="7" s="1"/>
  <c r="E49" i="7"/>
  <c r="F49" i="7" s="1"/>
  <c r="H49" i="7" s="1"/>
  <c r="E45" i="7"/>
  <c r="F45" i="7" s="1"/>
  <c r="H45" i="7" s="1"/>
  <c r="E56" i="7"/>
  <c r="F56" i="7" s="1"/>
  <c r="H56" i="7" s="1"/>
  <c r="E51" i="7"/>
  <c r="F51" i="7" s="1"/>
  <c r="H51" i="7" s="1"/>
  <c r="F37" i="7"/>
  <c r="H19" i="18"/>
  <c r="F19" i="18"/>
  <c r="H3" i="18"/>
  <c r="D20" i="18"/>
  <c r="D4" i="18" l="1"/>
  <c r="F3" i="18"/>
  <c r="E19" i="20"/>
  <c r="J19" i="8"/>
  <c r="H20" i="8"/>
  <c r="L19" i="8"/>
  <c r="I19" i="8"/>
  <c r="I18" i="8" l="1"/>
  <c r="L18" i="8"/>
  <c r="J18" i="8"/>
  <c r="H18" i="20"/>
  <c r="G20" i="26"/>
  <c r="G20" i="7" s="1"/>
  <c r="R19" i="8"/>
  <c r="S19" i="8"/>
  <c r="S18" i="8"/>
  <c r="G19" i="7" l="1"/>
  <c r="H17" i="20"/>
  <c r="D19" i="20"/>
  <c r="R18" i="8"/>
  <c r="F18" i="20"/>
  <c r="H19" i="7" l="1"/>
  <c r="J19" i="20"/>
  <c r="F17" i="20"/>
  <c r="F19" i="20"/>
  <c r="H19" i="20"/>
  <c r="G18" i="7"/>
  <c r="L19" i="20" l="1"/>
  <c r="H18" i="7"/>
  <c r="F16" i="20"/>
  <c r="F13" i="20"/>
  <c r="I17" i="8"/>
  <c r="S17" i="8"/>
  <c r="S14" i="8"/>
  <c r="I14" i="8"/>
  <c r="G71" i="8"/>
  <c r="I71" i="8" s="1"/>
  <c r="S71" i="8" l="1"/>
  <c r="K28" i="2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tc={9785C506-FF35-471A-8860-1BC165091480}</author>
    <author>tc={B405E5B7-B2FB-4891-A45E-1203048076CE}</author>
    <author>tc={DBC6651E-9103-4DBA-B3F4-83765BD5B851}</author>
    <author>tc={66249436-EFA7-47C7-AA9F-616594C29403}</author>
    <author>tc={E9535F5E-E242-4B01-9B20-6EBFD74487BD}</author>
    <author>tc={EE2A5128-71BA-4207-ADC6-73B186045CF4}</author>
    <author>tc={EA466ACC-13A7-4BF0-9BE4-BC2318068F83}</author>
    <author>tc={4C8FDF97-2707-48B2-9294-0698AFCE3307}</author>
    <author>tc={AE49593D-AEF8-4B7D-B8A7-DA554072083C}</author>
    <author>tc={7867A22F-7FB6-4840-8468-51864A21898C}</author>
    <author>tc={F0A016D4-7766-45A9-8286-17D65AAD55FE}</author>
    <author>tc={7BD38D1E-42D3-415D-9C83-5015887E1C61}</author>
    <author>tc={6108F04A-54AA-491C-B813-ED1075260CA9}</author>
    <author>tc={FB4CB23A-A6D7-481C-B7FE-5235CE6BE430}</author>
    <author>tc={08A5D180-2F9A-4F62-8091-2EFB6AF43198}</author>
    <author>tc={C0F2E8C8-B99A-4F07-887A-504565BDC79E}</author>
    <author>tc={5CAEFC1C-080B-4527-B517-71C0BAD31BE4}</author>
    <author>tc={14ECC8EE-5CE6-47F5-A500-0715FCB411CB}</author>
    <author>tc={97EBB69F-0417-47A1-9C9B-2A5181EC23E5}</author>
    <author>tc={8110D24A-E566-4B96-AC84-E2143C9ED3E8}</author>
    <author>tc={7078CB20-2AAF-4561-8CF3-72BEF9B03D07}</author>
    <author>tc={2B6B770B-7276-4A36-8A7D-8695C402EC11}</author>
    <author>tc={D40D0315-86BE-419D-B36B-ABF39F896159}</author>
    <author>tc={77657B5E-1864-4F19-B6DC-F8022D29BE52}</author>
    <author>tc={71CD3AED-5346-4A4E-B8E2-7AAAAFC6AA3A}</author>
    <author>tc={1B3C1BD0-5C21-4000-BF88-74828B856BA9}</author>
    <author>tc={C48F00DD-9617-4A0A-AE39-7E69134D1C03}</author>
    <author>tc={C48F8158-7E36-4778-B251-0A1ECEF3A752}</author>
    <author>tc={CA2A8730-3E3B-459D-B13D-C522E732B782}</author>
    <author>tc={6EC75C76-E6EF-4DC7-BF42-BD8598BB3D8E}</author>
    <author>tc={2476AB0D-2ED6-4E45-8DCE-A43B5A4B1392}</author>
    <author>tc={CCF0FDB5-C539-4359-850C-A14221D7403A}</author>
    <author>tc={3F2AD36D-7B02-49BB-816E-2F10B8C3D88C}</author>
    <author>tc={8CB513E7-8EEC-416F-9C6D-B1FE9D58D49D}</author>
    <author>tc={CFD52D09-2B5F-418C-85ED-40E8A5E5CBE6}</author>
    <author>tc={EA93978E-DFA2-4847-8228-45704371363A}</author>
    <author>tc={C90348E1-3CB7-4150-B3EA-66D3A588A481}</author>
    <author>tc={0C258355-F276-40D5-868B-5E5DB974B1C7}</author>
    <author>tc={460C08D1-96D4-4C42-94C6-7470E1AA14CC}</author>
    <author>tc={3C3294B8-F428-4CE1-AD79-C21D0C3BDC43}</author>
    <author>tc={10940C18-F07F-4696-97AD-72537C3CC04A}</author>
  </authors>
  <commentList>
    <comment ref="C9" authorId="0" shapeId="0" xr:uid="{9785C506-FF35-471A-8860-1BC165091480}">
      <text>
        <t xml:space="preserve">[스레드 댓글]
사용 중인 버전의 Excel에서 이 스레드 댓글을 읽을 수 있지만 파일을 이후 버전의 Excel에서 열면 편집 내용이 모두 제거됩니다. 자세한 정보: https://go.microsoft.com/fwlink/?linkid=870924.
댓글:
    1Q25부터 기존 '기타금융자산' 항목이 현재 '기타채권'로 합산되었습니다.
The previous "Other Financial Assets" category has since 1Q25 been consolidated into "Other Receivables."
</t>
      </text>
    </comment>
    <comment ref="BB9" authorId="1" shapeId="0" xr:uid="{B405E5B7-B2FB-4891-A45E-1203048076CE}">
      <text>
        <t>[스레드 댓글]
사용 중인 버전의 Excel에서 이 스레드 댓글을 읽을 수 있지만 파일을 이후 버전의 Excel에서 열면 편집 내용이 모두 제거됩니다. 자세한 정보: https://go.microsoft.com/fwlink/?linkid=870924.
댓글:
    받을어음 39백만원 포함</t>
      </text>
    </comment>
    <comment ref="CC9" authorId="2" shapeId="0" xr:uid="{DBC6651E-9103-4DBA-B3F4-83765BD5B851}">
      <text>
        <t xml:space="preserve">[스레드 댓글]
사용 중인 버전의 Excel에서 이 스레드 댓글을 읽을 수 있지만 파일을 이후 버전의 Excel에서 열면 편집 내용이 모두 제거됩니다. 자세한 정보: https://go.microsoft.com/fwlink/?linkid=870924.
댓글:
    1Q25부터 기존 '기타금융자산' 항목이 현재 '기타채권'로 합산되었습니다.
The previous "Other Financial Assets" category has since 1Q25 been consolidated into "Other Receivables."
</t>
      </text>
    </comment>
    <comment ref="CF9" authorId="3" shapeId="0" xr:uid="{66249436-EFA7-47C7-AA9F-616594C29403}">
      <text>
        <t>[스레드 댓글]
사용 중인 버전의 Excel에서 이 스레드 댓글을 읽을 수 있지만 파일을 이후 버전의 Excel에서 열면 편집 내용이 모두 제거됩니다. 자세한 정보: https://go.microsoft.com/fwlink/?linkid=870924.
댓글:
    1Q25부터 기존 '기타금융자산' 항목이 현재 '기타채권'로 합산되었습니다.
The previous "Other Financial Assets" category has since 1Q25 been consolidated into "Other Receivables."</t>
      </text>
    </comment>
    <comment ref="CI9" authorId="4" shapeId="0" xr:uid="{E9535F5E-E242-4B01-9B20-6EBFD74487BD}">
      <text>
        <t>[스레드 댓글]
사용 중인 버전의 Excel에서 이 스레드 댓글을 읽을 수 있지만 파일을 이후 버전의 Excel에서 열면 편집 내용이 모두 제거됩니다. 자세한 정보: https://go.microsoft.com/fwlink/?linkid=870924.
댓글:
    1Q25부터 기존 '기타금융자산' 항목이 현재 '기타채권'로 합산되었습니다.
The previous "Other Financial Assets" category has since 1Q25 been consolidated into "Other Receivables."</t>
      </text>
    </comment>
    <comment ref="CO9" authorId="5" shapeId="0" xr:uid="{EE2A5128-71BA-4207-ADC6-73B186045CF4}">
      <text>
        <t xml:space="preserve">[스레드 댓글]
사용 중인 버전의 Excel에서 이 스레드 댓글을 읽을 수 있지만 파일을 이후 버전의 Excel에서 열면 편집 내용이 모두 제거됩니다. 자세한 정보: https://go.microsoft.com/fwlink/?linkid=870924.
댓글:
    1Q25부터 기존 '기타금융자산' 항목이 현재 '기타채권'로 합산되었습니다.
The previous "Other Financial Assets" category has since 1Q25 been consolidated into "Other Receivables."
</t>
      </text>
    </comment>
    <comment ref="CR9" authorId="6" shapeId="0" xr:uid="{EA466ACC-13A7-4BF0-9BE4-BC2318068F83}">
      <text>
        <t xml:space="preserve">[스레드 댓글]
사용 중인 버전의 Excel에서 이 스레드 댓글을 읽을 수 있지만 파일을 이후 버전의 Excel에서 열면 편집 내용이 모두 제거됩니다. 자세한 정보: https://go.microsoft.com/fwlink/?linkid=870924.
댓글:
    1Q25부터 기존 '기타금융자산' 항목이 현재 '기타채권'로 합산되었습니다.
The previous "Other Financial Assets" category has since 1Q25 been consolidated into "Other Receivables."
</t>
      </text>
    </comment>
    <comment ref="CU9" authorId="7" shapeId="0" xr:uid="{4C8FDF97-2707-48B2-9294-0698AFCE3307}">
      <text>
        <t xml:space="preserve">[스레드 댓글]
사용 중인 버전의 Excel에서 이 스레드 댓글을 읽을 수 있지만 파일을 이후 버전의 Excel에서 열면 편집 내용이 모두 제거됩니다. 자세한 정보: https://go.microsoft.com/fwlink/?linkid=870924.
댓글:
    1Q25부터 기존 '기타금융자산' 항목이 현재 '기타채권'로 합산되었습니다.
The previous "Other Financial Assets" category has since 1Q25 been consolidated into "Other Receivables."
</t>
      </text>
    </comment>
    <comment ref="CX9" authorId="8" shapeId="0" xr:uid="{AE49593D-AEF8-4B7D-B8A7-DA554072083C}">
      <text>
        <t xml:space="preserve">[스레드 댓글]
사용 중인 버전의 Excel에서 이 스레드 댓글을 읽을 수 있지만 파일을 이후 버전의 Excel에서 열면 편집 내용이 모두 제거됩니다. 자세한 정보: https://go.microsoft.com/fwlink/?linkid=870924.
댓글:
    1Q25부터 기존 '기타금융자산' 항목이 현재 '기타채권'로 합산되었습니다.
The previous "Other Financial Assets" category has since 1Q25 been consolidated into "Other Receivables."
</t>
      </text>
    </comment>
    <comment ref="C11" authorId="9" shapeId="0" xr:uid="{7867A22F-7FB6-4840-8468-51864A21898C}">
      <text>
        <t xml:space="preserve">[스레드 댓글]
사용 중인 버전의 Excel에서 이 스레드 댓글을 읽을 수 있지만 파일을 이후 버전의 Excel에서 열면 편집 내용이 모두 제거됩니다. 자세한 정보: https://go.microsoft.com/fwlink/?linkid=870924.
댓글:
    1Q25부터 기존 '기타금융자산' 항목이 현재 '기타채권'로 합산되었습니다.
The previous "Other Financial Assets" category has since 1Q25 been consolidated into "Other Receivables."
</t>
      </text>
    </comment>
    <comment ref="CC11" authorId="10" shapeId="0" xr:uid="{F0A016D4-7766-45A9-8286-17D65AAD55FE}">
      <text>
        <t xml:space="preserve">[스레드 댓글]
사용 중인 버전의 Excel에서 이 스레드 댓글을 읽을 수 있지만 파일을 이후 버전의 Excel에서 열면 편집 내용이 모두 제거됩니다. 자세한 정보: https://go.microsoft.com/fwlink/?linkid=870924.
댓글:
    1Q25부터 기존 '기타금융자산' 항목이 현재 '기타채권'로 합산되었습니다.
The previous "Other Financial Assets" category has since 1Q25 been consolidated into "Other Receivables."
</t>
      </text>
    </comment>
    <comment ref="CF11" authorId="11" shapeId="0" xr:uid="{7BD38D1E-42D3-415D-9C83-5015887E1C61}">
      <text>
        <t xml:space="preserve">[스레드 댓글]
사용 중인 버전의 Excel에서 이 스레드 댓글을 읽을 수 있지만 파일을 이후 버전의 Excel에서 열면 편집 내용이 모두 제거됩니다. 자세한 정보: https://go.microsoft.com/fwlink/?linkid=870924.
댓글:
    1Q25부터 기존 '기타금융자산' 항목이 현재 '기타채권'로 합산되었습니다.
The previous "Other Financial Assets" category has since 1Q25 been consolidated into "Other Receivables."
</t>
      </text>
    </comment>
    <comment ref="CI11" authorId="12" shapeId="0" xr:uid="{6108F04A-54AA-491C-B813-ED1075260CA9}">
      <text>
        <t xml:space="preserve">[스레드 댓글]
사용 중인 버전의 Excel에서 이 스레드 댓글을 읽을 수 있지만 파일을 이후 버전의 Excel에서 열면 편집 내용이 모두 제거됩니다. 자세한 정보: https://go.microsoft.com/fwlink/?linkid=870924.
댓글:
    1Q25부터 기존 '기타금융자산' 항목이 현재 '기타채권'로 합산되었습니다.
The previous "Other Financial Assets" category has since 1Q25 been consolidated into "Other Receivables."
</t>
      </text>
    </comment>
    <comment ref="CL11" authorId="13" shapeId="0" xr:uid="{FB4CB23A-A6D7-481C-B7FE-5235CE6BE430}">
      <text>
        <t xml:space="preserve">[스레드 댓글]
사용 중인 버전의 Excel에서 이 스레드 댓글을 읽을 수 있지만 파일을 이후 버전의 Excel에서 열면 편집 내용이 모두 제거됩니다. 자세한 정보: https://go.microsoft.com/fwlink/?linkid=870924.
댓글:
    1Q25부터 기존 '기타금융자산' 항목이 현재 '기타채권'로 합산되었습니다.
The previous "Other Financial Assets" category has since 1Q25 been consolidated into "Other Receivables."
</t>
      </text>
    </comment>
    <comment ref="CO11" authorId="14" shapeId="0" xr:uid="{08A5D180-2F9A-4F62-8091-2EFB6AF43198}">
      <text>
        <t xml:space="preserve">[스레드 댓글]
사용 중인 버전의 Excel에서 이 스레드 댓글을 읽을 수 있지만 파일을 이후 버전의 Excel에서 열면 편집 내용이 모두 제거됩니다. 자세한 정보: https://go.microsoft.com/fwlink/?linkid=870924.
댓글:
    1Q25부터 기존 '기타금융자산' 항목이 현재 '기타채권'로 합산되었습니다.
The previous "Other Financial Assets" category has since 1Q25 been consolidated into "Other Receivables."
</t>
      </text>
    </comment>
    <comment ref="CR11" authorId="15" shapeId="0" xr:uid="{C0F2E8C8-B99A-4F07-887A-504565BDC79E}">
      <text>
        <t xml:space="preserve">[스레드 댓글]
사용 중인 버전의 Excel에서 이 스레드 댓글을 읽을 수 있지만 파일을 이후 버전의 Excel에서 열면 편집 내용이 모두 제거됩니다. 자세한 정보: https://go.microsoft.com/fwlink/?linkid=870924.
댓글:
    1Q25부터 기존 '기타금융자산' 항목이 현재 '기타채권'로 합산되었습니다.
The previous "Other Financial Assets" category has since 1Q25 been consolidated into "Other Receivables."
</t>
      </text>
    </comment>
    <comment ref="CU11" authorId="16" shapeId="0" xr:uid="{5CAEFC1C-080B-4527-B517-71C0BAD31BE4}">
      <text>
        <t xml:space="preserve">[스레드 댓글]
사용 중인 버전의 Excel에서 이 스레드 댓글을 읽을 수 있지만 파일을 이후 버전의 Excel에서 열면 편집 내용이 모두 제거됩니다. 자세한 정보: https://go.microsoft.com/fwlink/?linkid=870924.
댓글:
    1Q25부터 기존 '기타금융자산' 항목이 현재 '기타채권'로 합산되었습니다.
The previous "Other Financial Assets" category has since 1Q25 been consolidated into "Other Receivables."
</t>
      </text>
    </comment>
    <comment ref="CX11" authorId="17" shapeId="0" xr:uid="{14ECC8EE-5CE6-47F5-A500-0715FCB411CB}">
      <text>
        <t xml:space="preserve">[스레드 댓글]
사용 중인 버전의 Excel에서 이 스레드 댓글을 읽을 수 있지만 파일을 이후 버전의 Excel에서 열면 편집 내용이 모두 제거됩니다. 자세한 정보: https://go.microsoft.com/fwlink/?linkid=870924.
댓글:
    1Q25부터 기존 '기타금융자산' 항목이 현재 '기타채권'로 합산되었습니다.
The previous "Other Financial Assets" category has since 1Q25 been consolidated into "Other Receivables."
</t>
      </text>
    </comment>
    <comment ref="C30" authorId="18" shapeId="0" xr:uid="{97EBB69F-0417-47A1-9C9B-2A5181EC23E5}">
      <text>
        <t xml:space="preserve">[스레드 댓글]
사용 중인 버전의 Excel에서 이 스레드 댓글을 읽을 수 있지만 파일을 이후 버전의 Excel에서 열면 편집 내용이 모두 제거됩니다. 자세한 정보: https://go.microsoft.com/fwlink/?linkid=870924.
댓글:
    1Q25 부터 기존 '기타금융부채' 항목이 현재 '기타채무'로 합산되었습니다.
The previous "Other Financial Liabilities" category has since 1Q25 been consolidated into "Other Liabilities."
</t>
      </text>
    </comment>
    <comment ref="CC30" authorId="19" shapeId="0" xr:uid="{8110D24A-E566-4B96-AC84-E2143C9ED3E8}">
      <text>
        <t xml:space="preserve">[스레드 댓글]
사용 중인 버전의 Excel에서 이 스레드 댓글을 읽을 수 있지만 파일을 이후 버전의 Excel에서 열면 편집 내용이 모두 제거됩니다. 자세한 정보: https://go.microsoft.com/fwlink/?linkid=870924.
댓글:
    1Q25 부터 기존 '기타금융부채' 항목이 현재 '기타채무'로 합산되었습니다.
The previous "Other Financial Liabilities" category has since 1Q25 been consolidated into "Other Liabilities."
</t>
      </text>
    </comment>
    <comment ref="CF30" authorId="20" shapeId="0" xr:uid="{7078CB20-2AAF-4561-8CF3-72BEF9B03D07}">
      <text>
        <t xml:space="preserve">[스레드 댓글]
사용 중인 버전의 Excel에서 이 스레드 댓글을 읽을 수 있지만 파일을 이후 버전의 Excel에서 열면 편집 내용이 모두 제거됩니다. 자세한 정보: https://go.microsoft.com/fwlink/?linkid=870924.
댓글:
    1Q25 부터 기존 '기타금융부채' 항목이 현재 '기타채무'로 합산되었습니다.
The previous "Other Financial Liabilities" category has since 1Q25 been consolidated into "Other Liabilities."
</t>
      </text>
    </comment>
    <comment ref="CI30" authorId="21" shapeId="0" xr:uid="{2B6B770B-7276-4A36-8A7D-8695C402EC11}">
      <text>
        <t xml:space="preserve">[스레드 댓글]
사용 중인 버전의 Excel에서 이 스레드 댓글을 읽을 수 있지만 파일을 이후 버전의 Excel에서 열면 편집 내용이 모두 제거됩니다. 자세한 정보: https://go.microsoft.com/fwlink/?linkid=870924.
댓글:
    1Q25 부터 기존 '기타금융부채' 항목이 현재 '기타채무'로 합산되었습니다.
The previous "Other Financial Liabilities" category has since 1Q25 been consolidated into "Other Liabilities."
</t>
      </text>
    </comment>
    <comment ref="CL30" authorId="22" shapeId="0" xr:uid="{D40D0315-86BE-419D-B36B-ABF39F896159}">
      <text>
        <t xml:space="preserve">[스레드 댓글]
사용 중인 버전의 Excel에서 이 스레드 댓글을 읽을 수 있지만 파일을 이후 버전의 Excel에서 열면 편집 내용이 모두 제거됩니다. 자세한 정보: https://go.microsoft.com/fwlink/?linkid=870924.
댓글:
    1Q25 부터 기존 '기타금융부채' 항목이 현재 '기타채무'로 합산되었습니다.
The previous "Other Financial Liabilities" category has since 1Q25 been consolidated into "Other Liabilities."
</t>
      </text>
    </comment>
    <comment ref="CO30" authorId="23" shapeId="0" xr:uid="{77657B5E-1864-4F19-B6DC-F8022D29BE52}">
      <text>
        <t xml:space="preserve">[스레드 댓글]
사용 중인 버전의 Excel에서 이 스레드 댓글을 읽을 수 있지만 파일을 이후 버전의 Excel에서 열면 편집 내용이 모두 제거됩니다. 자세한 정보: https://go.microsoft.com/fwlink/?linkid=870924.
댓글:
    1Q25 부터 기존 '기타금융부채' 항목이 현재 '기타채무'로 합산되었습니다.
The previous "Other Financial Liabilities" category has since 1Q25 been consolidated into "Other Liabilities."
</t>
      </text>
    </comment>
    <comment ref="CR30" authorId="24" shapeId="0" xr:uid="{71CD3AED-5346-4A4E-B8E2-7AAAAFC6AA3A}">
      <text>
        <t xml:space="preserve">[스레드 댓글]
사용 중인 버전의 Excel에서 이 스레드 댓글을 읽을 수 있지만 파일을 이후 버전의 Excel에서 열면 편집 내용이 모두 제거됩니다. 자세한 정보: https://go.microsoft.com/fwlink/?linkid=870924.
댓글:
    1Q25 부터 기존 '기타금융부채' 항목이 현재 '기타채무'로 합산되었습니다.
The previous "Other Financial Liabilities" category has since 1Q25 been consolidated into "Other Liabilities."
</t>
      </text>
    </comment>
    <comment ref="CU30" authorId="25" shapeId="0" xr:uid="{1B3C1BD0-5C21-4000-BF88-74828B856BA9}">
      <text>
        <t xml:space="preserve">[스레드 댓글]
사용 중인 버전의 Excel에서 이 스레드 댓글을 읽을 수 있지만 파일을 이후 버전의 Excel에서 열면 편집 내용이 모두 제거됩니다. 자세한 정보: https://go.microsoft.com/fwlink/?linkid=870924.
댓글:
    1Q25 부터 기존 '기타금융부채' 항목이 현재 '기타채무'로 합산되었습니다.
The previous "Other Financial Liabilities" category has since 1Q25 been consolidated into "Other Liabilities."
</t>
      </text>
    </comment>
    <comment ref="CX30" authorId="26" shapeId="0" xr:uid="{C48F00DD-9617-4A0A-AE39-7E69134D1C03}">
      <text>
        <t xml:space="preserve">[스레드 댓글]
사용 중인 버전의 Excel에서 이 스레드 댓글을 읽을 수 있지만 파일을 이후 버전의 Excel에서 열면 편집 내용이 모두 제거됩니다. 자세한 정보: https://go.microsoft.com/fwlink/?linkid=870924.
댓글:
    1Q25 부터 기존 '기타금융부채' 항목이 현재 '기타채무'로 합산되었습니다.
The previous "Other Financial Liabilities" category has since 1Q25 been consolidated into "Other Liabilities."
</t>
      </text>
    </comment>
    <comment ref="C33" authorId="27" shapeId="0" xr:uid="{C48F8158-7E36-4778-B251-0A1ECEF3A752}">
      <text>
        <t xml:space="preserve">[스레드 댓글]
사용 중인 버전의 Excel에서 이 스레드 댓글을 읽을 수 있지만 파일을 이후 버전의 Excel에서 열면 편집 내용이 모두 제거됩니다. 자세한 정보: https://go.microsoft.com/fwlink/?linkid=870924.
댓글:
    1Q25 부터 기존 '기타금융부채' 항목이 현재 '기타채무'로 합산되었습니다.
The previous "Other Financial Liabilities" category has since 1Q25 been consolidated into "Other Liabilities."
</t>
      </text>
    </comment>
    <comment ref="CC33" authorId="28" shapeId="0" xr:uid="{CA2A8730-3E3B-459D-B13D-C522E732B782}">
      <text>
        <t xml:space="preserve">[스레드 댓글]
사용 중인 버전의 Excel에서 이 스레드 댓글을 읽을 수 있지만 파일을 이후 버전의 Excel에서 열면 편집 내용이 모두 제거됩니다. 자세한 정보: https://go.microsoft.com/fwlink/?linkid=870924.
댓글:
    1Q25 부터 기존 '기타금융부채' 항목이 현재 '기타채무'로 합산되었습니다.
The previous "Other Financial Liabilities" category has since 1Q25 been consolidated into "Other Liabilities."
</t>
      </text>
    </comment>
    <comment ref="CF33" authorId="29" shapeId="0" xr:uid="{6EC75C76-E6EF-4DC7-BF42-BD8598BB3D8E}">
      <text>
        <t xml:space="preserve">[스레드 댓글]
사용 중인 버전의 Excel에서 이 스레드 댓글을 읽을 수 있지만 파일을 이후 버전의 Excel에서 열면 편집 내용이 모두 제거됩니다. 자세한 정보: https://go.microsoft.com/fwlink/?linkid=870924.
댓글:
    1Q25 부터 기존 '기타금융부채' 항목이 현재 '기타채무'로 합산되었습니다.
The previous "Other Financial Liabilities" category has since 1Q25 been consolidated into "Other Liabilities."
</t>
      </text>
    </comment>
    <comment ref="CI33" authorId="30" shapeId="0" xr:uid="{2476AB0D-2ED6-4E45-8DCE-A43B5A4B1392}">
      <text>
        <t xml:space="preserve">[스레드 댓글]
사용 중인 버전의 Excel에서 이 스레드 댓글을 읽을 수 있지만 파일을 이후 버전의 Excel에서 열면 편집 내용이 모두 제거됩니다. 자세한 정보: https://go.microsoft.com/fwlink/?linkid=870924.
댓글:
    1Q25 부터 기존 '기타금융부채' 항목이 현재 '기타채무'로 합산되었습니다.
The previous "Other Financial Liabilities" category has since 1Q25 been consolidated into "Other Liabilities."
</t>
      </text>
    </comment>
    <comment ref="CL33" authorId="31" shapeId="0" xr:uid="{CCF0FDB5-C539-4359-850C-A14221D7403A}">
      <text>
        <t xml:space="preserve">[스레드 댓글]
사용 중인 버전의 Excel에서 이 스레드 댓글을 읽을 수 있지만 파일을 이후 버전의 Excel에서 열면 편집 내용이 모두 제거됩니다. 자세한 정보: https://go.microsoft.com/fwlink/?linkid=870924.
댓글:
    1Q25 부터 기존 '기타금융부채' 항목이 현재 '기타채무'로 합산되었습니다.
The previous "Other Financial Liabilities" category has since 1Q25 been consolidated into "Other Liabilities."
</t>
      </text>
    </comment>
    <comment ref="CO33" authorId="32" shapeId="0" xr:uid="{3F2AD36D-7B02-49BB-816E-2F10B8C3D88C}">
      <text>
        <t xml:space="preserve">[스레드 댓글]
사용 중인 버전의 Excel에서 이 스레드 댓글을 읽을 수 있지만 파일을 이후 버전의 Excel에서 열면 편집 내용이 모두 제거됩니다. 자세한 정보: https://go.microsoft.com/fwlink/?linkid=870924.
댓글:
    1Q25 부터 기존 '기타금융부채' 항목이 현재 '기타채무'로 합산되었습니다.
The previous "Other Financial Liabilities" category has since 1Q25 been consolidated into "Other Liabilities."
</t>
      </text>
    </comment>
    <comment ref="CR33" authorId="33" shapeId="0" xr:uid="{8CB513E7-8EEC-416F-9C6D-B1FE9D58D49D}">
      <text>
        <t xml:space="preserve">[스레드 댓글]
사용 중인 버전의 Excel에서 이 스레드 댓글을 읽을 수 있지만 파일을 이후 버전의 Excel에서 열면 편집 내용이 모두 제거됩니다. 자세한 정보: https://go.microsoft.com/fwlink/?linkid=870924.
댓글:
    1Q25 부터 기존 '기타금융부채' 항목이 현재 '기타채무'로 합산되었습니다.
The previous "Other Financial Liabilities" category has since 1Q25 been consolidated into "Other Liabilities."
</t>
      </text>
    </comment>
    <comment ref="CU33" authorId="34" shapeId="0" xr:uid="{CFD52D09-2B5F-418C-85ED-40E8A5E5CBE6}">
      <text>
        <t xml:space="preserve">[스레드 댓글]
사용 중인 버전의 Excel에서 이 스레드 댓글을 읽을 수 있지만 파일을 이후 버전의 Excel에서 열면 편집 내용이 모두 제거됩니다. 자세한 정보: https://go.microsoft.com/fwlink/?linkid=870924.
댓글:
    1Q25 부터 기존 '기타금융부채' 항목이 현재 '기타채무'로 합산되었습니다.
The previous "Other Financial Liabilities" category has since 1Q25 been consolidated into "Other Liabilities."
</t>
      </text>
    </comment>
    <comment ref="CX33" authorId="35" shapeId="0" xr:uid="{EA93978E-DFA2-4847-8228-45704371363A}">
      <text>
        <t xml:space="preserve">[스레드 댓글]
사용 중인 버전의 Excel에서 이 스레드 댓글을 읽을 수 있지만 파일을 이후 버전의 Excel에서 열면 편집 내용이 모두 제거됩니다. 자세한 정보: https://go.microsoft.com/fwlink/?linkid=870924.
댓글:
    1Q25 부터 기존 '기타금융부채' 항목이 현재 '기타채무'로 합산되었습니다.
The previous "Other Financial Liabilities" category has since 1Q25 been consolidated into "Other Liabilities."
</t>
      </text>
    </comment>
    <comment ref="CC45" authorId="36" shapeId="0" xr:uid="{C90348E1-3CB7-4150-B3EA-66D3A588A481}">
      <text>
        <t xml:space="preserve">[스레드 댓글]
사용 중인 버전의 Excel에서 이 스레드 댓글을 읽을 수 있지만 파일을 이후 버전의 Excel에서 열면 편집 내용이 모두 제거됩니다. 자세한 정보: https://go.microsoft.com/fwlink/?linkid=870924.
댓글:
    1Q25 부터 기존 '기타금융부채' 항목이 현재 '기타채무'로 합산되었습니다.
The previous "Other Financial Liabilities" category has since 1Q25 been consolidated into "Other Liabilities."
</t>
      </text>
    </comment>
    <comment ref="CF45" authorId="37" shapeId="0" xr:uid="{0C258355-F276-40D5-868B-5E5DB974B1C7}">
      <text>
        <t xml:space="preserve">[스레드 댓글]
사용 중인 버전의 Excel에서 이 스레드 댓글을 읽을 수 있지만 파일을 이후 버전의 Excel에서 열면 편집 내용이 모두 제거됩니다. 자세한 정보: https://go.microsoft.com/fwlink/?linkid=870924.
댓글:
    1Q25 부터 기존 '기타금융부채' 항목이 현재 '기타채무'로 합산되었습니다.
The previous "Other Financial Liabilities" category has since 1Q25 been consolidated into "Other Liabilities."
</t>
      </text>
    </comment>
    <comment ref="CI45" authorId="38" shapeId="0" xr:uid="{460C08D1-96D4-4C42-94C6-7470E1AA14CC}">
      <text>
        <t xml:space="preserve">[스레드 댓글]
사용 중인 버전의 Excel에서 이 스레드 댓글을 읽을 수 있지만 파일을 이후 버전의 Excel에서 열면 편집 내용이 모두 제거됩니다. 자세한 정보: https://go.microsoft.com/fwlink/?linkid=870924.
댓글:
    1Q25 부터 기존 '기타금융부채' 항목이 현재 '기타채무'로 합산되었습니다.
The previous "Other Financial Liabilities" category has since 1Q25 been consolidated into "Other Liabilities."
</t>
      </text>
    </comment>
    <comment ref="CL45" authorId="39" shapeId="0" xr:uid="{3C3294B8-F428-4CE1-AD79-C21D0C3BDC43}">
      <text>
        <t xml:space="preserve">[스레드 댓글]
사용 중인 버전의 Excel에서 이 스레드 댓글을 읽을 수 있지만 파일을 이후 버전의 Excel에서 열면 편집 내용이 모두 제거됩니다. 자세한 정보: https://go.microsoft.com/fwlink/?linkid=870924.
댓글:
    1Q25 부터 기존 '기타금융부채' 항목이 현재 '기타채무'로 합산되었습니다.
The previous "Other Financial Liabilities" category has since 1Q25 been consolidated into "Other Liabilities."
</t>
      </text>
    </comment>
    <comment ref="C82" authorId="40" shapeId="0" xr:uid="{10940C18-F07F-4696-97AD-72537C3CC04A}">
      <text>
        <t xml:space="preserve">[스레드 댓글]
사용 중인 버전의 Excel에서 이 스레드 댓글을 읽을 수 있지만 파일을 이후 버전의 Excel에서 열면 편집 내용이 모두 제거됩니다. 자세한 정보: https://go.microsoft.com/fwlink/?linkid=870924.
댓글:
    1Q25 부터 기존 '기타금융부채' 항목이 현재 '기타채무'로 합산되었습니다.
The previous "Other Financial Liabilities" category has since 1Q25 been consolidated into "Other Liabilities."
</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tc={D2DDA040-457E-460D-971F-9E1F4925B773}</author>
  </authors>
  <commentList>
    <comment ref="C79" authorId="0" shapeId="0" xr:uid="{D2DDA040-457E-460D-971F-9E1F4925B773}">
      <text>
        <t xml:space="preserve">[스레드 댓글]
사용 중인 버전의 Excel에서 이 스레드 댓글을 읽을 수 있지만 파일을 이후 버전의 Excel에서 열면 편집 내용이 모두 제거됩니다. 자세한 정보: https://go.microsoft.com/fwlink/?linkid=870924.
댓글:
    1Q25 부터 기존 '기타금융부채' 항목이 현재 '기타채무'로 합산되었습니다.
The previous "Other Financial Liabilities" category has since 1Q25 been consolidated into "Other Liabilities."
</t>
      </text>
    </comment>
  </commentList>
</comments>
</file>

<file path=xl/sharedStrings.xml><?xml version="1.0" encoding="utf-8"?>
<sst xmlns="http://schemas.openxmlformats.org/spreadsheetml/2006/main" count="1423" uniqueCount="528">
  <si>
    <t>YoY</t>
    <phoneticPr fontId="3" type="noConversion"/>
  </si>
  <si>
    <t>QoQ</t>
    <phoneticPr fontId="3" type="noConversion"/>
  </si>
  <si>
    <t>yoy</t>
    <phoneticPr fontId="3" type="noConversion"/>
  </si>
  <si>
    <t>-</t>
    <phoneticPr fontId="3" type="noConversion"/>
  </si>
  <si>
    <t>SG&amp;A</t>
    <phoneticPr fontId="3" type="noConversion"/>
  </si>
  <si>
    <t>DA</t>
    <phoneticPr fontId="3" type="noConversion"/>
  </si>
  <si>
    <t>EBITDA</t>
    <phoneticPr fontId="3" type="noConversion"/>
  </si>
  <si>
    <t>Total</t>
    <phoneticPr fontId="3" type="noConversion"/>
  </si>
  <si>
    <t>Brazil</t>
    <phoneticPr fontId="3" type="noConversion"/>
  </si>
  <si>
    <t>QoQ</t>
  </si>
  <si>
    <t>자산</t>
    <phoneticPr fontId="3" type="noConversion"/>
  </si>
  <si>
    <t>Total assets</t>
    <phoneticPr fontId="3" type="noConversion"/>
  </si>
  <si>
    <t>　유동자산</t>
  </si>
  <si>
    <t>Current assets</t>
    <phoneticPr fontId="3" type="noConversion"/>
  </si>
  <si>
    <t>　　재고자산</t>
    <phoneticPr fontId="3" type="noConversion"/>
  </si>
  <si>
    <t>Inventories</t>
    <phoneticPr fontId="3" type="noConversion"/>
  </si>
  <si>
    <t>　　기타유동자산</t>
    <phoneticPr fontId="3" type="noConversion"/>
  </si>
  <si>
    <t>Other current assets</t>
    <phoneticPr fontId="3" type="noConversion"/>
  </si>
  <si>
    <t>　비유동자산</t>
    <phoneticPr fontId="3" type="noConversion"/>
  </si>
  <si>
    <t>Non-current assets</t>
    <phoneticPr fontId="3" type="noConversion"/>
  </si>
  <si>
    <t>당기손익-공정가치측정금융자산(비유동)</t>
    <phoneticPr fontId="3" type="noConversion"/>
  </si>
  <si>
    <t>부채</t>
    <phoneticPr fontId="3" type="noConversion"/>
  </si>
  <si>
    <t>　유동부채</t>
  </si>
  <si>
    <t>　　기타유동부채</t>
    <phoneticPr fontId="3" type="noConversion"/>
  </si>
  <si>
    <t>Other current liabilities</t>
    <phoneticPr fontId="3" type="noConversion"/>
  </si>
  <si>
    <t>　비유동부채</t>
    <phoneticPr fontId="3" type="noConversion"/>
  </si>
  <si>
    <t>자본</t>
    <phoneticPr fontId="3" type="noConversion"/>
  </si>
  <si>
    <t>　지배기업소유주지분</t>
    <phoneticPr fontId="3" type="noConversion"/>
  </si>
  <si>
    <t>　비지배지분</t>
  </si>
  <si>
    <t>제품(순액)</t>
    <phoneticPr fontId="3" type="noConversion"/>
  </si>
  <si>
    <t>재공품</t>
    <phoneticPr fontId="3" type="noConversion"/>
  </si>
  <si>
    <t>원재료(순액)</t>
    <phoneticPr fontId="3" type="noConversion"/>
  </si>
  <si>
    <t>Raw materials</t>
    <phoneticPr fontId="3" type="noConversion"/>
  </si>
  <si>
    <t>상품</t>
    <phoneticPr fontId="3" type="noConversion"/>
  </si>
  <si>
    <t>Merchandise</t>
    <phoneticPr fontId="3" type="noConversion"/>
  </si>
  <si>
    <t>선급금</t>
    <phoneticPr fontId="3" type="noConversion"/>
  </si>
  <si>
    <t>선급비용</t>
    <phoneticPr fontId="3" type="noConversion"/>
  </si>
  <si>
    <t>부가세대급금</t>
    <phoneticPr fontId="3" type="noConversion"/>
  </si>
  <si>
    <t>Prepaid value added tax</t>
    <phoneticPr fontId="3" type="noConversion"/>
  </si>
  <si>
    <t>예수금</t>
    <phoneticPr fontId="3" type="noConversion"/>
  </si>
  <si>
    <t>Withholdings</t>
    <phoneticPr fontId="3" type="noConversion"/>
  </si>
  <si>
    <t>부가세예수금</t>
    <phoneticPr fontId="3" type="noConversion"/>
  </si>
  <si>
    <t>Value added tax withheld</t>
    <phoneticPr fontId="3" type="noConversion"/>
  </si>
  <si>
    <t>선수금</t>
    <phoneticPr fontId="3" type="noConversion"/>
  </si>
  <si>
    <t>Advance received</t>
    <phoneticPr fontId="3" type="noConversion"/>
  </si>
  <si>
    <t>급여</t>
    <phoneticPr fontId="3" type="noConversion"/>
  </si>
  <si>
    <t>Salaries</t>
    <phoneticPr fontId="3" type="noConversion"/>
  </si>
  <si>
    <t>잡급</t>
  </si>
  <si>
    <t>퇴직급여</t>
    <phoneticPr fontId="3" type="noConversion"/>
  </si>
  <si>
    <t>복리후생비</t>
    <phoneticPr fontId="3" type="noConversion"/>
  </si>
  <si>
    <t>접대비</t>
    <phoneticPr fontId="3" type="noConversion"/>
  </si>
  <si>
    <t>감가상각비</t>
    <phoneticPr fontId="3" type="noConversion"/>
  </si>
  <si>
    <t>Depreciation</t>
    <phoneticPr fontId="3" type="noConversion"/>
  </si>
  <si>
    <t>경상연구개발비</t>
    <phoneticPr fontId="3" type="noConversion"/>
  </si>
  <si>
    <t>소모품비</t>
  </si>
  <si>
    <t>지급수수료</t>
  </si>
  <si>
    <t>광고선전비</t>
    <phoneticPr fontId="3" type="noConversion"/>
  </si>
  <si>
    <t>판매수수료</t>
  </si>
  <si>
    <t>회의비</t>
    <phoneticPr fontId="3" type="noConversion"/>
  </si>
  <si>
    <t>Financial  Income</t>
  </si>
  <si>
    <t>Financial Expenses</t>
  </si>
  <si>
    <t>Other Income</t>
  </si>
  <si>
    <t>Other Expenses</t>
  </si>
  <si>
    <t>COGS</t>
    <phoneticPr fontId="3" type="noConversion"/>
  </si>
  <si>
    <t>Employee Benefits</t>
    <phoneticPr fontId="3" type="noConversion"/>
  </si>
  <si>
    <t>Communication Expenses</t>
    <phoneticPr fontId="3" type="noConversion"/>
  </si>
  <si>
    <t>Repairs and Maintenance Expenses</t>
    <phoneticPr fontId="3" type="noConversion"/>
  </si>
  <si>
    <t>지급임차료</t>
    <phoneticPr fontId="3" type="noConversion"/>
  </si>
  <si>
    <t>Sample Expenses</t>
    <phoneticPr fontId="3" type="noConversion"/>
  </si>
  <si>
    <t>Others</t>
    <phoneticPr fontId="3" type="noConversion"/>
  </si>
  <si>
    <t>Commission</t>
    <phoneticPr fontId="3" type="noConversion"/>
  </si>
  <si>
    <t>Finished Goods</t>
    <phoneticPr fontId="3" type="noConversion"/>
  </si>
  <si>
    <t>Work in Process</t>
  </si>
  <si>
    <t>Short-Term Financial Instruments</t>
  </si>
  <si>
    <t>Other Current Assets</t>
  </si>
  <si>
    <t>Advance Payments</t>
  </si>
  <si>
    <t>Prepaid Expenses</t>
  </si>
  <si>
    <t>YoY</t>
  </si>
  <si>
    <t>COGS</t>
  </si>
  <si>
    <t>(%)</t>
  </si>
  <si>
    <t>SG&amp;A</t>
  </si>
  <si>
    <t>EBITDA</t>
  </si>
  <si>
    <t>매출</t>
  </si>
  <si>
    <t>매출원가</t>
  </si>
  <si>
    <t>매출총이익</t>
  </si>
  <si>
    <t>판관비</t>
  </si>
  <si>
    <t>영업이익</t>
  </si>
  <si>
    <t>Others</t>
  </si>
  <si>
    <t>(% of sales)　</t>
  </si>
  <si>
    <t>(% of sales)</t>
  </si>
  <si>
    <t>Assets</t>
  </si>
  <si>
    <t>Inventories</t>
  </si>
  <si>
    <t>P.P.E.</t>
  </si>
  <si>
    <t>Liabilities</t>
  </si>
  <si>
    <t>Current liabilities</t>
  </si>
  <si>
    <t>Non-current liabilities</t>
  </si>
  <si>
    <t>Retained earnings</t>
  </si>
  <si>
    <t>Total Liabilities + Equity</t>
  </si>
  <si>
    <t>수출</t>
  </si>
  <si>
    <t>내수</t>
  </si>
  <si>
    <t>기타</t>
  </si>
  <si>
    <t>급여</t>
  </si>
  <si>
    <t>(매출 대비 %)　</t>
  </si>
  <si>
    <t>경상연구개발비</t>
  </si>
  <si>
    <t>광고선전비</t>
  </si>
  <si>
    <t>유동자산</t>
  </si>
  <si>
    <t>재고자산</t>
  </si>
  <si>
    <t>매출채권</t>
  </si>
  <si>
    <t>비유동자산</t>
  </si>
  <si>
    <t>유동부채</t>
  </si>
  <si>
    <t>비유동부채</t>
  </si>
  <si>
    <t>이익잉여금</t>
  </si>
  <si>
    <t>(%)</t>
    <phoneticPr fontId="3" type="noConversion"/>
  </si>
  <si>
    <t>-</t>
  </si>
  <si>
    <t>1) Condensed I/S_Quarterly</t>
    <phoneticPr fontId="3" type="noConversion"/>
  </si>
  <si>
    <t>2) Sales by Brands_Quarterly</t>
    <phoneticPr fontId="3" type="noConversion"/>
  </si>
  <si>
    <t>자본과부채총계</t>
    <phoneticPr fontId="3" type="noConversion"/>
  </si>
  <si>
    <t>Non-Current Liabilities</t>
    <phoneticPr fontId="3" type="noConversion"/>
  </si>
  <si>
    <t>현금및현금성자산</t>
    <phoneticPr fontId="3" type="noConversion"/>
  </si>
  <si>
    <t>단기금융상품</t>
    <phoneticPr fontId="3" type="noConversion"/>
  </si>
  <si>
    <t>당기손익-공정가치측정금융자산(유동)</t>
    <phoneticPr fontId="3" type="noConversion"/>
  </si>
  <si>
    <t>재고자산</t>
    <phoneticPr fontId="3" type="noConversion"/>
  </si>
  <si>
    <t>기타금융자산</t>
    <phoneticPr fontId="3" type="noConversion"/>
  </si>
  <si>
    <t>기타유동자산</t>
    <phoneticPr fontId="3" type="noConversion"/>
  </si>
  <si>
    <t>당기법인세자산</t>
    <phoneticPr fontId="3" type="noConversion"/>
  </si>
  <si>
    <t>장기금융상품</t>
    <phoneticPr fontId="3" type="noConversion"/>
  </si>
  <si>
    <t>유형자산</t>
    <phoneticPr fontId="3" type="noConversion"/>
  </si>
  <si>
    <t>무형자산</t>
    <phoneticPr fontId="3" type="noConversion"/>
  </si>
  <si>
    <t>투자부동산</t>
    <phoneticPr fontId="3" type="noConversion"/>
  </si>
  <si>
    <t>사용권자산</t>
    <phoneticPr fontId="3" type="noConversion"/>
  </si>
  <si>
    <t>이연법인세자산</t>
    <phoneticPr fontId="3" type="noConversion"/>
  </si>
  <si>
    <t>단기차입금</t>
    <phoneticPr fontId="3" type="noConversion"/>
  </si>
  <si>
    <t>당기법인세부채</t>
    <phoneticPr fontId="3" type="noConversion"/>
  </si>
  <si>
    <t>기타금융부채</t>
    <phoneticPr fontId="3" type="noConversion"/>
  </si>
  <si>
    <t>기타유동부채</t>
    <phoneticPr fontId="3" type="noConversion"/>
  </si>
  <si>
    <t>리스부채</t>
    <phoneticPr fontId="3" type="noConversion"/>
  </si>
  <si>
    <t>장기차입금</t>
    <phoneticPr fontId="3" type="noConversion"/>
  </si>
  <si>
    <t>기타비유동금융부채</t>
    <phoneticPr fontId="3" type="noConversion"/>
  </si>
  <si>
    <t>비유동리스부채</t>
    <phoneticPr fontId="3" type="noConversion"/>
  </si>
  <si>
    <t>이연법인세부채</t>
    <phoneticPr fontId="3" type="noConversion"/>
  </si>
  <si>
    <t>자본금</t>
    <phoneticPr fontId="3" type="noConversion"/>
  </si>
  <si>
    <t>자본잉여금</t>
    <phoneticPr fontId="3" type="noConversion"/>
  </si>
  <si>
    <t>자본조정</t>
    <phoneticPr fontId="3" type="noConversion"/>
  </si>
  <si>
    <t>기타포괄손익누계액</t>
    <phoneticPr fontId="3" type="noConversion"/>
  </si>
  <si>
    <t>이익잉여금</t>
    <phoneticPr fontId="3" type="noConversion"/>
  </si>
  <si>
    <t>(단위: 백만원)</t>
    <phoneticPr fontId="3" type="noConversion"/>
  </si>
  <si>
    <t>Balance Sheet_Quarterly</t>
    <phoneticPr fontId="3" type="noConversion"/>
  </si>
  <si>
    <t>Retirement benefits</t>
    <phoneticPr fontId="3" type="noConversion"/>
  </si>
  <si>
    <t>주식보상비용</t>
    <phoneticPr fontId="3" type="noConversion"/>
  </si>
  <si>
    <t>여비교통비</t>
    <phoneticPr fontId="3" type="noConversion"/>
  </si>
  <si>
    <t>통신비</t>
    <phoneticPr fontId="3" type="noConversion"/>
  </si>
  <si>
    <t>수도광열비</t>
    <phoneticPr fontId="3" type="noConversion"/>
  </si>
  <si>
    <t>수선비</t>
    <phoneticPr fontId="3" type="noConversion"/>
  </si>
  <si>
    <t>보험료</t>
    <phoneticPr fontId="3" type="noConversion"/>
  </si>
  <si>
    <t>차량유지비</t>
    <phoneticPr fontId="3" type="noConversion"/>
  </si>
  <si>
    <t>운반비</t>
    <phoneticPr fontId="3" type="noConversion"/>
  </si>
  <si>
    <t>교육훈련비</t>
    <phoneticPr fontId="3" type="noConversion"/>
  </si>
  <si>
    <t>도서인쇄비</t>
    <phoneticPr fontId="3" type="noConversion"/>
  </si>
  <si>
    <t>Periodicals and Printing Expenses</t>
    <phoneticPr fontId="3" type="noConversion"/>
  </si>
  <si>
    <t>사무용품비</t>
    <phoneticPr fontId="3" type="noConversion"/>
  </si>
  <si>
    <t>판매촉진비</t>
    <phoneticPr fontId="3" type="noConversion"/>
  </si>
  <si>
    <t>수출제비용</t>
    <phoneticPr fontId="3" type="noConversion"/>
  </si>
  <si>
    <t>Export Expenses</t>
    <phoneticPr fontId="3" type="noConversion"/>
  </si>
  <si>
    <t>판매수수료</t>
    <phoneticPr fontId="3" type="noConversion"/>
  </si>
  <si>
    <t>견본비</t>
    <phoneticPr fontId="3" type="noConversion"/>
  </si>
  <si>
    <t>합 계</t>
    <phoneticPr fontId="3" type="noConversion"/>
  </si>
  <si>
    <t>Taxes and Dues</t>
    <phoneticPr fontId="3" type="noConversion"/>
  </si>
  <si>
    <t>지급수수료</t>
    <phoneticPr fontId="3" type="noConversion"/>
  </si>
  <si>
    <t>Sales Promotion Expenses</t>
    <phoneticPr fontId="3" type="noConversion"/>
  </si>
  <si>
    <t>판매보증비</t>
    <phoneticPr fontId="3" type="noConversion"/>
  </si>
  <si>
    <t>Vehicle Maintenance Expenses</t>
    <phoneticPr fontId="3" type="noConversion"/>
  </si>
  <si>
    <t>매출</t>
    <phoneticPr fontId="3" type="noConversion"/>
  </si>
  <si>
    <t>기타</t>
    <phoneticPr fontId="3" type="noConversion"/>
  </si>
  <si>
    <t>Rentals</t>
    <phoneticPr fontId="3" type="noConversion"/>
  </si>
  <si>
    <t>r</t>
    <phoneticPr fontId="3" type="noConversion"/>
  </si>
  <si>
    <t>매출원가</t>
    <phoneticPr fontId="3" type="noConversion"/>
  </si>
  <si>
    <t>매출총이익</t>
    <phoneticPr fontId="3" type="noConversion"/>
  </si>
  <si>
    <t>판관비</t>
    <phoneticPr fontId="3" type="noConversion"/>
  </si>
  <si>
    <t>영업이익</t>
    <phoneticPr fontId="3" type="noConversion"/>
  </si>
  <si>
    <t>금융수익</t>
    <phoneticPr fontId="3" type="noConversion"/>
  </si>
  <si>
    <t>금융비용</t>
  </si>
  <si>
    <t>금융비용</t>
    <phoneticPr fontId="3" type="noConversion"/>
  </si>
  <si>
    <t>기타수익</t>
  </si>
  <si>
    <t>기타수익</t>
    <phoneticPr fontId="3" type="noConversion"/>
  </si>
  <si>
    <t>기타비용</t>
  </si>
  <si>
    <t>기타비용</t>
    <phoneticPr fontId="3" type="noConversion"/>
  </si>
  <si>
    <t>법인세차감전순이익</t>
  </si>
  <si>
    <t>법인세비용</t>
    <phoneticPr fontId="3" type="noConversion"/>
  </si>
  <si>
    <t>3) Sales by Brands %</t>
    <phoneticPr fontId="3" type="noConversion"/>
  </si>
  <si>
    <t>수출</t>
    <phoneticPr fontId="3" type="noConversion"/>
  </si>
  <si>
    <t>내수</t>
    <phoneticPr fontId="3" type="noConversion"/>
  </si>
  <si>
    <t>소모품</t>
    <phoneticPr fontId="3" type="noConversion"/>
  </si>
  <si>
    <t>브라질</t>
    <phoneticPr fontId="3" type="noConversion"/>
  </si>
  <si>
    <t>Income Statement_Annually</t>
    <phoneticPr fontId="3" type="noConversion"/>
  </si>
  <si>
    <t>1) Condensed I/S_Annually</t>
    <phoneticPr fontId="3" type="noConversion"/>
  </si>
  <si>
    <t>(단위 : 십억원)</t>
    <phoneticPr fontId="3" type="noConversion"/>
  </si>
  <si>
    <t>Total Liabilities</t>
    <phoneticPr fontId="3" type="noConversion"/>
  </si>
  <si>
    <t>1Q24</t>
    <phoneticPr fontId="3" type="noConversion"/>
  </si>
  <si>
    <t>Revenue</t>
    <phoneticPr fontId="3" type="noConversion"/>
  </si>
  <si>
    <t>Cash &amp; Cash Equivalents</t>
    <phoneticPr fontId="3" type="noConversion"/>
  </si>
  <si>
    <t xml:space="preserve">Fair Value Through Profit or Loss </t>
    <phoneticPr fontId="3" type="noConversion"/>
  </si>
  <si>
    <t xml:space="preserve">Current Income Tax Assets </t>
    <phoneticPr fontId="3" type="noConversion"/>
  </si>
  <si>
    <t xml:space="preserve">Deferred Income Tax Assets </t>
    <phoneticPr fontId="3" type="noConversion"/>
  </si>
  <si>
    <t>Current Income Tax Liabilities</t>
    <phoneticPr fontId="3" type="noConversion"/>
  </si>
  <si>
    <t xml:space="preserve">Other Financial Liabilities </t>
    <phoneticPr fontId="3" type="noConversion"/>
  </si>
  <si>
    <t>Other Current Liabilities</t>
    <phoneticPr fontId="3" type="noConversion"/>
  </si>
  <si>
    <t>Other Non-Current Financial Liabilities</t>
    <phoneticPr fontId="3" type="noConversion"/>
  </si>
  <si>
    <t>Deferred Income Tax Liabilities</t>
    <phoneticPr fontId="3" type="noConversion"/>
  </si>
  <si>
    <t>Equity Attributable to Owners of the Parent Company</t>
    <phoneticPr fontId="3" type="noConversion"/>
  </si>
  <si>
    <t>Total Equity</t>
    <phoneticPr fontId="3" type="noConversion"/>
  </si>
  <si>
    <t>Capital Adjustments</t>
    <phoneticPr fontId="3" type="noConversion"/>
  </si>
  <si>
    <t>Total Liabilities and Equity</t>
    <phoneticPr fontId="3" type="noConversion"/>
  </si>
  <si>
    <t>Revenue</t>
  </si>
  <si>
    <t>유무형 감가상각비</t>
    <phoneticPr fontId="3" type="noConversion"/>
  </si>
  <si>
    <t>Intangible Assets</t>
    <phoneticPr fontId="3" type="noConversion"/>
  </si>
  <si>
    <t>2Q24</t>
    <phoneticPr fontId="3" type="noConversion"/>
  </si>
  <si>
    <t>3Q24</t>
    <phoneticPr fontId="3" type="noConversion"/>
  </si>
  <si>
    <t>4Q24</t>
    <phoneticPr fontId="3" type="noConversion"/>
  </si>
  <si>
    <t>관계기업투자</t>
    <phoneticPr fontId="3" type="noConversion"/>
  </si>
  <si>
    <t>파생상품자산</t>
    <phoneticPr fontId="3" type="noConversion"/>
  </si>
  <si>
    <t>건물관리비</t>
    <phoneticPr fontId="3" type="noConversion"/>
  </si>
  <si>
    <t>Investments in Affiliates</t>
    <phoneticPr fontId="3" type="noConversion"/>
  </si>
  <si>
    <t>무형고정자산상각비</t>
    <phoneticPr fontId="3" type="noConversion"/>
  </si>
  <si>
    <t>세금과공과금</t>
    <phoneticPr fontId="3" type="noConversion"/>
  </si>
  <si>
    <t>SG&amp;A_Quarterly</t>
    <phoneticPr fontId="3" type="noConversion"/>
  </si>
  <si>
    <t>매출액</t>
    <phoneticPr fontId="3" type="noConversion"/>
  </si>
  <si>
    <t>Investment Property</t>
    <phoneticPr fontId="3" type="noConversion"/>
  </si>
  <si>
    <t>Non-Current Derivative Assets</t>
    <phoneticPr fontId="3" type="noConversion"/>
  </si>
  <si>
    <t>2018</t>
    <phoneticPr fontId="3" type="noConversion"/>
  </si>
  <si>
    <t>법인세차감전
순이익</t>
    <phoneticPr fontId="3" type="noConversion"/>
  </si>
  <si>
    <t>2) Sales by Brands</t>
    <phoneticPr fontId="3" type="noConversion"/>
  </si>
  <si>
    <t>유동비율</t>
    <phoneticPr fontId="3" type="noConversion"/>
  </si>
  <si>
    <t>부채비율</t>
    <phoneticPr fontId="3" type="noConversion"/>
  </si>
  <si>
    <t>Intangible Assets</t>
  </si>
  <si>
    <t>충당부채(유동)</t>
    <phoneticPr fontId="3" type="noConversion"/>
  </si>
  <si>
    <t>Current Provision</t>
    <phoneticPr fontId="3" type="noConversion"/>
  </si>
  <si>
    <t>Building Maintenance Expenses</t>
    <phoneticPr fontId="3" type="noConversion"/>
  </si>
  <si>
    <t>판관비 합계</t>
    <phoneticPr fontId="3" type="noConversion"/>
  </si>
  <si>
    <t>전환사채(유동)</t>
    <phoneticPr fontId="3" type="noConversion"/>
  </si>
  <si>
    <t>Tax Expenses</t>
    <phoneticPr fontId="3" type="noConversion"/>
  </si>
  <si>
    <t>SG&amp;A_Annually</t>
    <phoneticPr fontId="3" type="noConversion"/>
  </si>
  <si>
    <t>Income Statement_Quarterly</t>
    <phoneticPr fontId="3" type="noConversion"/>
  </si>
  <si>
    <t>파생상품부채(유동)</t>
    <phoneticPr fontId="3" type="noConversion"/>
  </si>
  <si>
    <t>파생상품부채(비유동)</t>
    <phoneticPr fontId="3" type="noConversion"/>
  </si>
  <si>
    <t>1Q25</t>
    <phoneticPr fontId="3" type="noConversion"/>
  </si>
  <si>
    <t>임대료</t>
    <phoneticPr fontId="3" type="noConversion"/>
  </si>
  <si>
    <t>Current Loans Received</t>
    <phoneticPr fontId="3" type="noConversion"/>
  </si>
  <si>
    <t>Current Convertible Bonds</t>
    <phoneticPr fontId="3" type="noConversion"/>
  </si>
  <si>
    <t>Current Derivative Liabilities</t>
    <phoneticPr fontId="3" type="noConversion"/>
  </si>
  <si>
    <t>Current Liabilities</t>
    <phoneticPr fontId="3" type="noConversion"/>
  </si>
  <si>
    <t>Right-of-Use Assets</t>
    <phoneticPr fontId="3" type="noConversion"/>
  </si>
  <si>
    <t>Long-Term Borrowings</t>
    <phoneticPr fontId="3" type="noConversion"/>
  </si>
  <si>
    <t>Lease Liabilities</t>
    <phoneticPr fontId="3" type="noConversion"/>
  </si>
  <si>
    <t>Non-Current Lease Liabilities</t>
    <phoneticPr fontId="3" type="noConversion"/>
  </si>
  <si>
    <t>Capital Surplus</t>
    <phoneticPr fontId="3" type="noConversion"/>
  </si>
  <si>
    <t>Issued Capital</t>
    <phoneticPr fontId="3" type="noConversion"/>
  </si>
  <si>
    <t xml:space="preserve">Accumulated Other Comprehensive Income </t>
    <phoneticPr fontId="3" type="noConversion"/>
  </si>
  <si>
    <t>Retained Earnings</t>
    <phoneticPr fontId="3" type="noConversion"/>
  </si>
  <si>
    <t>Non-Controlling Interests</t>
    <phoneticPr fontId="3" type="noConversion"/>
  </si>
  <si>
    <t>Non-Current derivative liabilities</t>
    <phoneticPr fontId="3" type="noConversion"/>
  </si>
  <si>
    <t>R&amp;D Expenses</t>
    <phoneticPr fontId="3" type="noConversion"/>
  </si>
  <si>
    <t>Advertising</t>
    <phoneticPr fontId="3" type="noConversion"/>
  </si>
  <si>
    <t xml:space="preserve">Sales Commissions </t>
    <phoneticPr fontId="3" type="noConversion"/>
  </si>
  <si>
    <t>Warranty Expenses</t>
    <phoneticPr fontId="3" type="noConversion"/>
  </si>
  <si>
    <t xml:space="preserve">Miscellaneous Wages </t>
    <phoneticPr fontId="3" type="noConversion"/>
  </si>
  <si>
    <t>Share-based Compensation</t>
    <phoneticPr fontId="3" type="noConversion"/>
  </si>
  <si>
    <t>Entertainment Expenses</t>
    <phoneticPr fontId="3" type="noConversion"/>
  </si>
  <si>
    <t>Travel and Transportation Expenses</t>
    <phoneticPr fontId="3" type="noConversion"/>
  </si>
  <si>
    <t xml:space="preserve">Utilities </t>
    <phoneticPr fontId="3" type="noConversion"/>
  </si>
  <si>
    <t>Rent Expenses</t>
    <phoneticPr fontId="3" type="noConversion"/>
  </si>
  <si>
    <t>Insurance Expenses</t>
    <phoneticPr fontId="3" type="noConversion"/>
  </si>
  <si>
    <t>Freight and Delivery Expenses</t>
    <phoneticPr fontId="3" type="noConversion"/>
  </si>
  <si>
    <t>Training and Education Expenses</t>
    <phoneticPr fontId="3" type="noConversion"/>
  </si>
  <si>
    <t>Office Supplies Expense</t>
    <phoneticPr fontId="3" type="noConversion"/>
  </si>
  <si>
    <t>Supplies Expenses</t>
    <phoneticPr fontId="3" type="noConversion"/>
  </si>
  <si>
    <t>Amortization of Intangible Assets</t>
    <phoneticPr fontId="3" type="noConversion"/>
  </si>
  <si>
    <t>Gross Profit</t>
    <phoneticPr fontId="3" type="noConversion"/>
  </si>
  <si>
    <t>Operating Profit</t>
    <phoneticPr fontId="3" type="noConversion"/>
  </si>
  <si>
    <t>Shurink RX/SKEDERM</t>
  </si>
  <si>
    <t>2Q24 YTD</t>
    <phoneticPr fontId="3" type="noConversion"/>
  </si>
  <si>
    <t>3Q24 YTD</t>
    <phoneticPr fontId="3" type="noConversion"/>
  </si>
  <si>
    <t>4Q24 YTD</t>
    <phoneticPr fontId="3" type="noConversion"/>
  </si>
  <si>
    <t>1Q22</t>
    <phoneticPr fontId="3" type="noConversion"/>
  </si>
  <si>
    <t>2Q22</t>
    <phoneticPr fontId="3" type="noConversion"/>
  </si>
  <si>
    <t>3Q22</t>
    <phoneticPr fontId="3" type="noConversion"/>
  </si>
  <si>
    <t>4Q22</t>
    <phoneticPr fontId="3" type="noConversion"/>
  </si>
  <si>
    <t>1Q23</t>
    <phoneticPr fontId="3" type="noConversion"/>
  </si>
  <si>
    <t>2Q23</t>
    <phoneticPr fontId="3" type="noConversion"/>
  </si>
  <si>
    <t>3Q23</t>
    <phoneticPr fontId="3" type="noConversion"/>
  </si>
  <si>
    <t>4Q23</t>
    <phoneticPr fontId="3" type="noConversion"/>
  </si>
  <si>
    <t>장비</t>
    <phoneticPr fontId="3" type="noConversion"/>
  </si>
  <si>
    <t>Device</t>
    <phoneticPr fontId="3" type="noConversion"/>
  </si>
  <si>
    <t>Consumable</t>
    <phoneticPr fontId="3" type="noConversion"/>
  </si>
  <si>
    <t>1Q18</t>
    <phoneticPr fontId="3" type="noConversion"/>
  </si>
  <si>
    <t>2Q18</t>
    <phoneticPr fontId="3" type="noConversion"/>
  </si>
  <si>
    <t>3Q18</t>
    <phoneticPr fontId="3" type="noConversion"/>
  </si>
  <si>
    <t>4Q18</t>
    <phoneticPr fontId="3" type="noConversion"/>
  </si>
  <si>
    <t>1Q19</t>
    <phoneticPr fontId="3" type="noConversion"/>
  </si>
  <si>
    <t>2Q19</t>
    <phoneticPr fontId="3" type="noConversion"/>
  </si>
  <si>
    <t>3Q19</t>
    <phoneticPr fontId="3" type="noConversion"/>
  </si>
  <si>
    <t>4Q19</t>
    <phoneticPr fontId="3" type="noConversion"/>
  </si>
  <si>
    <t>1Q20</t>
    <phoneticPr fontId="3" type="noConversion"/>
  </si>
  <si>
    <t>2Q20</t>
    <phoneticPr fontId="3" type="noConversion"/>
  </si>
  <si>
    <t>3Q20</t>
    <phoneticPr fontId="3" type="noConversion"/>
  </si>
  <si>
    <t>4Q20</t>
    <phoneticPr fontId="3" type="noConversion"/>
  </si>
  <si>
    <t>1Q21</t>
    <phoneticPr fontId="3" type="noConversion"/>
  </si>
  <si>
    <t>2Q21</t>
    <phoneticPr fontId="3" type="noConversion"/>
  </si>
  <si>
    <t>3Q21</t>
    <phoneticPr fontId="3" type="noConversion"/>
  </si>
  <si>
    <t>4Q21</t>
    <phoneticPr fontId="3" type="noConversion"/>
  </si>
  <si>
    <t>Rentals</t>
  </si>
  <si>
    <t>1Q18</t>
  </si>
  <si>
    <t>2Q18</t>
  </si>
  <si>
    <t>3Q18</t>
  </si>
  <si>
    <t>4Q18</t>
  </si>
  <si>
    <t>▼Reclassification of Revenue</t>
    <phoneticPr fontId="3" type="noConversion"/>
  </si>
  <si>
    <t>▼Merger with Ilooda (24.10.01)</t>
    <phoneticPr fontId="3" type="noConversion"/>
  </si>
  <si>
    <t>Global</t>
  </si>
  <si>
    <t>Korea</t>
  </si>
  <si>
    <t>지배주주 순이익</t>
    <phoneticPr fontId="3" type="noConversion"/>
  </si>
  <si>
    <t>지배주주순이익</t>
    <phoneticPr fontId="3" type="noConversion"/>
  </si>
  <si>
    <t>Net Income</t>
    <phoneticPr fontId="3" type="noConversion"/>
  </si>
  <si>
    <t>Accounts Receivable</t>
    <phoneticPr fontId="3" type="noConversion"/>
  </si>
  <si>
    <t xml:space="preserve">Other Receivables </t>
    <phoneticPr fontId="3" type="noConversion"/>
  </si>
  <si>
    <t>매출채권</t>
    <phoneticPr fontId="3" type="noConversion"/>
  </si>
  <si>
    <t>기타채권</t>
    <phoneticPr fontId="3" type="noConversion"/>
  </si>
  <si>
    <t>2Q25</t>
    <phoneticPr fontId="3" type="noConversion"/>
  </si>
  <si>
    <t>2Q25 YTD</t>
    <phoneticPr fontId="3" type="noConversion"/>
  </si>
  <si>
    <t>기타채무</t>
    <phoneticPr fontId="3" type="noConversion"/>
  </si>
  <si>
    <t>매입채무</t>
    <phoneticPr fontId="3" type="noConversion"/>
  </si>
  <si>
    <t>Accounts Payable</t>
    <phoneticPr fontId="3" type="noConversion"/>
  </si>
  <si>
    <t>Other Financial Assets</t>
    <phoneticPr fontId="3" type="noConversion"/>
  </si>
  <si>
    <t>현금성자산 등</t>
    <phoneticPr fontId="3" type="noConversion"/>
  </si>
  <si>
    <t>Cash &amp; cash equivalents. Etc</t>
    <phoneticPr fontId="3" type="noConversion"/>
  </si>
  <si>
    <t>Cash &amp; cash equivalents</t>
    <phoneticPr fontId="3" type="noConversion"/>
  </si>
  <si>
    <t>Meeting Expenses</t>
    <phoneticPr fontId="3" type="noConversion"/>
  </si>
  <si>
    <t>2Q18 YTD</t>
    <phoneticPr fontId="3" type="noConversion"/>
  </si>
  <si>
    <t>3Q18 YTD</t>
    <phoneticPr fontId="3" type="noConversion"/>
  </si>
  <si>
    <t>4Q18 YTD</t>
    <phoneticPr fontId="3" type="noConversion"/>
  </si>
  <si>
    <t>2Q19 YTD</t>
    <phoneticPr fontId="3" type="noConversion"/>
  </si>
  <si>
    <t>3Q19 YTD</t>
    <phoneticPr fontId="3" type="noConversion"/>
  </si>
  <si>
    <t>4Q19 YTD</t>
    <phoneticPr fontId="3" type="noConversion"/>
  </si>
  <si>
    <t>2Q20 YTD</t>
    <phoneticPr fontId="3" type="noConversion"/>
  </si>
  <si>
    <t>3Q20 YTD</t>
    <phoneticPr fontId="3" type="noConversion"/>
  </si>
  <si>
    <t>4Q20 YTD</t>
    <phoneticPr fontId="3" type="noConversion"/>
  </si>
  <si>
    <t>2Q21 YTD</t>
    <phoneticPr fontId="3" type="noConversion"/>
  </si>
  <si>
    <t>3Q21 YTD</t>
    <phoneticPr fontId="3" type="noConversion"/>
  </si>
  <si>
    <t>4Q21 YTD</t>
    <phoneticPr fontId="3" type="noConversion"/>
  </si>
  <si>
    <t>2Q22 YTD</t>
    <phoneticPr fontId="3" type="noConversion"/>
  </si>
  <si>
    <t>3Q22 YTD</t>
    <phoneticPr fontId="3" type="noConversion"/>
  </si>
  <si>
    <t>4Q22 YTD</t>
    <phoneticPr fontId="3" type="noConversion"/>
  </si>
  <si>
    <t>2Q23 YTD</t>
    <phoneticPr fontId="3" type="noConversion"/>
  </si>
  <si>
    <t>3Q23 YTD</t>
    <phoneticPr fontId="3" type="noConversion"/>
  </si>
  <si>
    <t>4Q23 YTD</t>
    <phoneticPr fontId="3" type="noConversion"/>
  </si>
  <si>
    <t>No disclosure</t>
    <phoneticPr fontId="3" type="noConversion"/>
  </si>
  <si>
    <t>Homecare</t>
    <phoneticPr fontId="3" type="noConversion"/>
  </si>
  <si>
    <t>3Q25</t>
    <phoneticPr fontId="3" type="noConversion"/>
  </si>
  <si>
    <t>3Q25 YTD</t>
    <phoneticPr fontId="3" type="noConversion"/>
  </si>
  <si>
    <t>장기기타채권</t>
    <phoneticPr fontId="3" type="noConversion"/>
  </si>
  <si>
    <t>Other Non-current Assets</t>
    <phoneticPr fontId="3" type="noConversion"/>
  </si>
  <si>
    <t>Non-current Financial Assets</t>
    <phoneticPr fontId="3" type="noConversion"/>
  </si>
  <si>
    <t>이자수익</t>
    <phoneticPr fontId="44" type="noConversion"/>
  </si>
  <si>
    <t>금융자산평가이익</t>
    <phoneticPr fontId="44" type="noConversion"/>
  </si>
  <si>
    <t>외환차익</t>
    <phoneticPr fontId="44" type="noConversion"/>
  </si>
  <si>
    <t>외화환산이익</t>
    <phoneticPr fontId="44" type="noConversion"/>
  </si>
  <si>
    <t>이자비용</t>
    <phoneticPr fontId="44" type="noConversion"/>
  </si>
  <si>
    <t>매출채권처분손실</t>
    <phoneticPr fontId="44" type="noConversion"/>
  </si>
  <si>
    <t>외환차손</t>
    <phoneticPr fontId="44" type="noConversion"/>
  </si>
  <si>
    <t>파생상품평가손실</t>
    <phoneticPr fontId="44" type="noConversion"/>
  </si>
  <si>
    <t>금융자산평가손실</t>
    <phoneticPr fontId="44" type="noConversion"/>
  </si>
  <si>
    <t>외화환산손실</t>
    <phoneticPr fontId="44" type="noConversion"/>
  </si>
  <si>
    <t>Other Liabilities</t>
    <phoneticPr fontId="3" type="noConversion"/>
  </si>
  <si>
    <t xml:space="preserve"> 미지급비용</t>
    <phoneticPr fontId="3" type="noConversion"/>
  </si>
  <si>
    <t xml:space="preserve"> 미지급금</t>
    <phoneticPr fontId="3" type="noConversion"/>
  </si>
  <si>
    <t xml:space="preserve"> 예수보증금</t>
    <phoneticPr fontId="3" type="noConversion"/>
  </si>
  <si>
    <t xml:space="preserve"> 주식선택권</t>
    <phoneticPr fontId="3" type="noConversion"/>
  </si>
  <si>
    <t xml:space="preserve"> 자기주식</t>
    <phoneticPr fontId="3" type="noConversion"/>
  </si>
  <si>
    <t xml:space="preserve"> 자기주식처분손실</t>
    <phoneticPr fontId="3" type="noConversion"/>
  </si>
  <si>
    <t>Interest Income</t>
  </si>
  <si>
    <t>Gain on Valuation of Financial Assets</t>
  </si>
  <si>
    <t>Gain on Foreign Currency Translation</t>
  </si>
  <si>
    <t>Gain on Foreign Exchange</t>
  </si>
  <si>
    <t>Interest Expenses</t>
  </si>
  <si>
    <t>Loss on Disposal of Trade Receivables</t>
  </si>
  <si>
    <t>Loss on Foreign Exchange</t>
  </si>
  <si>
    <t>Loss on Valuation of Derivatives</t>
  </si>
  <si>
    <t>Loss on Valuation of Financial Assets</t>
  </si>
  <si>
    <t>Loss on Foreign Currency Translation</t>
  </si>
  <si>
    <t>Accrued Expenses</t>
    <phoneticPr fontId="3" type="noConversion"/>
  </si>
  <si>
    <t>Deposits Received</t>
    <phoneticPr fontId="3" type="noConversion"/>
  </si>
  <si>
    <t>Share-based Payment</t>
    <phoneticPr fontId="3" type="noConversion"/>
  </si>
  <si>
    <t>Treasury Shares</t>
    <phoneticPr fontId="3" type="noConversion"/>
  </si>
  <si>
    <t>Loss on Disposal of Treasury Shares</t>
    <phoneticPr fontId="3" type="noConversion"/>
  </si>
  <si>
    <t>반품충당부채</t>
    <phoneticPr fontId="3" type="noConversion"/>
  </si>
  <si>
    <t>Provision for Sales Returns</t>
    <phoneticPr fontId="3" type="noConversion"/>
  </si>
  <si>
    <t>미지급 배당금</t>
    <phoneticPr fontId="3" type="noConversion"/>
  </si>
  <si>
    <t>Dividends Payable</t>
    <phoneticPr fontId="3" type="noConversion"/>
  </si>
  <si>
    <t>1Q25</t>
  </si>
  <si>
    <t>2Q25 YTD</t>
  </si>
  <si>
    <t>3Q25 YTD</t>
  </si>
  <si>
    <t>(Unit: Billion KRW)</t>
    <phoneticPr fontId="3" type="noConversion"/>
  </si>
  <si>
    <t>(단위 : %)</t>
    <phoneticPr fontId="3" type="noConversion"/>
  </si>
  <si>
    <t>(Unit: %)</t>
    <phoneticPr fontId="3" type="noConversion"/>
  </si>
  <si>
    <t>(단위 : 백만원)</t>
  </si>
  <si>
    <t>(단위 : 백만원)</t>
    <phoneticPr fontId="3" type="noConversion"/>
  </si>
  <si>
    <t>(Unit: Million KRW)</t>
  </si>
  <si>
    <t>(Unit: Million KRW)</t>
    <phoneticPr fontId="3" type="noConversion"/>
  </si>
  <si>
    <t>(Note 1) Net income = attributable to owners of the parent company 
(Note 2) If negative or expenses, shown in parentheses</t>
    <phoneticPr fontId="3" type="noConversion"/>
  </si>
  <si>
    <t>유형자산처분이익</t>
    <phoneticPr fontId="44" type="noConversion"/>
  </si>
  <si>
    <t>사용권자산처분이익</t>
    <phoneticPr fontId="44" type="noConversion"/>
  </si>
  <si>
    <t>잡이익</t>
    <phoneticPr fontId="44" type="noConversion"/>
  </si>
  <si>
    <t>잡손실</t>
    <phoneticPr fontId="44" type="noConversion"/>
  </si>
  <si>
    <t>Gain on Disposal of Property, Plant and Equipment</t>
  </si>
  <si>
    <t>Gain on Disposal of Right-of-use Assets</t>
  </si>
  <si>
    <t>Loss on Disposal of Property, Plant and Equipment</t>
  </si>
  <si>
    <t>Loss on Disposal of Right-of-use Assets</t>
  </si>
  <si>
    <t>영업외손익</t>
    <phoneticPr fontId="3" type="noConversion"/>
  </si>
  <si>
    <t>금융수익</t>
    <phoneticPr fontId="44" type="noConversion"/>
  </si>
  <si>
    <t>금융비용</t>
    <phoneticPr fontId="44" type="noConversion"/>
  </si>
  <si>
    <t>기타수익</t>
    <phoneticPr fontId="44" type="noConversion"/>
  </si>
  <si>
    <t>기타비용</t>
    <phoneticPr fontId="44" type="noConversion"/>
  </si>
  <si>
    <t>6개월이내</t>
    <phoneticPr fontId="3" type="noConversion"/>
  </si>
  <si>
    <t>1년초과</t>
    <phoneticPr fontId="3" type="noConversion"/>
  </si>
  <si>
    <t>6개월초과~12개월이내</t>
    <phoneticPr fontId="3" type="noConversion"/>
  </si>
  <si>
    <t>건설중인무형자산</t>
    <phoneticPr fontId="3" type="noConversion"/>
  </si>
  <si>
    <t>소프트웨어</t>
    <phoneticPr fontId="3" type="noConversion"/>
  </si>
  <si>
    <t>매출</t>
    <phoneticPr fontId="44" type="noConversion"/>
  </si>
  <si>
    <t>순손익</t>
    <phoneticPr fontId="44" type="noConversion"/>
  </si>
  <si>
    <t>CLASSYS Brazil</t>
    <phoneticPr fontId="44" type="noConversion"/>
  </si>
  <si>
    <t>CLASSYS Japan</t>
    <phoneticPr fontId="44" type="noConversion"/>
  </si>
  <si>
    <t>Net Income</t>
  </si>
  <si>
    <t>(-)감가상각누계액</t>
    <phoneticPr fontId="3" type="noConversion"/>
  </si>
  <si>
    <t xml:space="preserve">* 25.10 Agreement to acquire MedSystems, the transaction will be completed in 1Q26 </t>
    <phoneticPr fontId="3" type="noConversion"/>
  </si>
  <si>
    <t>기타</t>
    <phoneticPr fontId="44" type="noConversion"/>
  </si>
  <si>
    <t>1Q25 부터 기존 '기타금융부채' 항목이 현재 '기타채무'로 합산되었습니다.
The previous "Other Financial Liabilities" category has since 1Q25 been consolidated into "Other Liabilities."</t>
    <phoneticPr fontId="3" type="noConversion"/>
  </si>
  <si>
    <t>매출채권 및 기타채권 총액</t>
    <phoneticPr fontId="3" type="noConversion"/>
  </si>
  <si>
    <t>Accounts and Other Receivables</t>
    <phoneticPr fontId="3" type="noConversion"/>
  </si>
  <si>
    <t>Within 6 months</t>
    <phoneticPr fontId="3" type="noConversion"/>
  </si>
  <si>
    <t>6 to 12 months</t>
    <phoneticPr fontId="3" type="noConversion"/>
  </si>
  <si>
    <t>More than 12 months</t>
    <phoneticPr fontId="3" type="noConversion"/>
  </si>
  <si>
    <t>Intangible Assets Under Development</t>
    <phoneticPr fontId="3" type="noConversion"/>
  </si>
  <si>
    <t xml:space="preserve">Software </t>
    <phoneticPr fontId="3" type="noConversion"/>
  </si>
  <si>
    <t>Accumulated Amortization</t>
    <phoneticPr fontId="3" type="noConversion"/>
  </si>
  <si>
    <t>잡손실</t>
  </si>
  <si>
    <t>유형자산처분손실</t>
    <phoneticPr fontId="44" type="noConversion"/>
  </si>
  <si>
    <t>사용권자산처분손실</t>
    <phoneticPr fontId="44" type="noConversion"/>
  </si>
  <si>
    <t>Subsidaries</t>
    <phoneticPr fontId="3" type="noConversion"/>
  </si>
  <si>
    <t>Earnings Before Tax</t>
    <phoneticPr fontId="3" type="noConversion"/>
  </si>
  <si>
    <t>(-)손실충당금</t>
  </si>
  <si>
    <t>(-)손실충당금</t>
    <phoneticPr fontId="3" type="noConversion"/>
  </si>
  <si>
    <t>Loss Allowance</t>
  </si>
  <si>
    <t>Loss Allowance</t>
    <phoneticPr fontId="3" type="noConversion"/>
  </si>
  <si>
    <r>
      <t xml:space="preserve">Bad Debt Expense </t>
    </r>
    <r>
      <rPr>
        <vertAlign val="superscript"/>
        <sz val="9"/>
        <rFont val="맑은 고딕"/>
        <family val="3"/>
        <charset val="129"/>
        <scheme val="minor"/>
      </rPr>
      <t>1)</t>
    </r>
    <phoneticPr fontId="3" type="noConversion"/>
  </si>
  <si>
    <r>
      <t>대손상각비</t>
    </r>
    <r>
      <rPr>
        <vertAlign val="superscript"/>
        <sz val="9"/>
        <rFont val="맑은 고딕"/>
        <family val="3"/>
        <charset val="129"/>
        <scheme val="minor"/>
      </rPr>
      <t>1)</t>
    </r>
    <phoneticPr fontId="3" type="noConversion"/>
  </si>
  <si>
    <t>4Q25</t>
    <phoneticPr fontId="3" type="noConversion"/>
  </si>
  <si>
    <t>4Q25 YTD</t>
    <phoneticPr fontId="3" type="noConversion"/>
  </si>
  <si>
    <t>No disclosure</t>
  </si>
  <si>
    <t xml:space="preserve"> </t>
    <phoneticPr fontId="3" type="noConversion"/>
  </si>
  <si>
    <t>기타자본조정</t>
    <phoneticPr fontId="3" type="noConversion"/>
  </si>
  <si>
    <t>파생상품평가이익</t>
    <phoneticPr fontId="3" type="noConversion"/>
  </si>
  <si>
    <t>Gain on valuation of derivatives</t>
    <phoneticPr fontId="3" type="noConversion"/>
  </si>
  <si>
    <t>파생상품평가이익</t>
    <phoneticPr fontId="44" type="noConversion"/>
  </si>
  <si>
    <t>Balance Sheet_Annually</t>
    <phoneticPr fontId="3" type="noConversion"/>
  </si>
  <si>
    <t>부채+자본</t>
    <phoneticPr fontId="3" type="noConversion"/>
  </si>
  <si>
    <t>(Unit: billion)</t>
    <phoneticPr fontId="3" type="noConversion"/>
  </si>
  <si>
    <t>장비</t>
  </si>
  <si>
    <t>Device</t>
  </si>
  <si>
    <t>소모품</t>
  </si>
  <si>
    <t>Consumable</t>
  </si>
  <si>
    <t>Homecare</t>
  </si>
  <si>
    <t>임대료</t>
  </si>
  <si>
    <t>비중</t>
    <phoneticPr fontId="3" type="noConversion"/>
  </si>
  <si>
    <t>Ratio</t>
    <phoneticPr fontId="3" type="noConversion"/>
  </si>
  <si>
    <t>Current Ratio</t>
    <phoneticPr fontId="3" type="noConversion"/>
  </si>
  <si>
    <t>D/E Ratio</t>
    <phoneticPr fontId="3" type="noConversion"/>
  </si>
  <si>
    <t>1Q26</t>
    <phoneticPr fontId="3" type="noConversion"/>
  </si>
  <si>
    <t>2Q26</t>
    <phoneticPr fontId="3" type="noConversion"/>
  </si>
  <si>
    <t>3Q26</t>
    <phoneticPr fontId="3" type="noConversion"/>
  </si>
  <si>
    <t>4Q26</t>
    <phoneticPr fontId="3" type="noConversion"/>
  </si>
  <si>
    <t>2Q26 YTD</t>
    <phoneticPr fontId="3" type="noConversion"/>
  </si>
  <si>
    <t>3Q26 YTD</t>
    <phoneticPr fontId="3" type="noConversion"/>
  </si>
  <si>
    <t>4Q26 YTD</t>
    <phoneticPr fontId="3" type="noConversion"/>
  </si>
  <si>
    <t>염가매수차익</t>
    <phoneticPr fontId="3" type="noConversion"/>
  </si>
  <si>
    <t>Gain on Bargain Purchase</t>
    <phoneticPr fontId="3" type="noConversion"/>
  </si>
  <si>
    <t>MEDSYSTEMS AR</t>
    <phoneticPr fontId="44" type="noConversion"/>
  </si>
  <si>
    <t>▼ Established Classys Brazile (25.12)</t>
    <phoneticPr fontId="3" type="noConversion"/>
  </si>
  <si>
    <t>Derivative Assets</t>
    <phoneticPr fontId="3" type="noConversion"/>
  </si>
  <si>
    <t>장기매출채권</t>
    <phoneticPr fontId="3" type="noConversion"/>
  </si>
  <si>
    <t>Non-current Trade Receivables</t>
    <phoneticPr fontId="3" type="noConversion"/>
  </si>
  <si>
    <t>장기기타채무</t>
    <phoneticPr fontId="3" type="noConversion"/>
  </si>
  <si>
    <t>Non-current Other Payables</t>
    <phoneticPr fontId="3" type="noConversion"/>
  </si>
  <si>
    <t>재공품(순액)</t>
    <phoneticPr fontId="3" type="noConversion"/>
  </si>
  <si>
    <t>Other Capital Adjustments</t>
    <phoneticPr fontId="3" type="noConversion"/>
  </si>
  <si>
    <t xml:space="preserve">Accumulated Other Comprehensive Income </t>
  </si>
  <si>
    <t>비지배지분</t>
    <phoneticPr fontId="3" type="noConversion"/>
  </si>
  <si>
    <t>Non-Controlling Interests</t>
  </si>
  <si>
    <t>기타포괄손익</t>
    <phoneticPr fontId="3" type="noConversion"/>
  </si>
  <si>
    <t>기존사업기준</t>
    <phoneticPr fontId="3" type="noConversion"/>
  </si>
  <si>
    <t>남미 연결 편입효과</t>
    <phoneticPr fontId="3" type="noConversion"/>
  </si>
  <si>
    <t>Consolidation Adjustments</t>
    <phoneticPr fontId="3" type="noConversion"/>
  </si>
  <si>
    <t>Skederm Inc.</t>
    <phoneticPr fontId="44" type="noConversion"/>
  </si>
  <si>
    <t xml:space="preserve">Skederm Shanghai </t>
    <phoneticPr fontId="44" type="noConversion"/>
  </si>
  <si>
    <t>남미 연결조정</t>
    <phoneticPr fontId="3" type="noConversion"/>
  </si>
  <si>
    <t>연결매출총계</t>
    <phoneticPr fontId="3" type="noConversion"/>
  </si>
  <si>
    <t>Total Consolidated Revenue</t>
    <phoneticPr fontId="3" type="noConversion"/>
  </si>
  <si>
    <t>Legacy Business</t>
    <phoneticPr fontId="3" type="noConversion"/>
  </si>
  <si>
    <t>South America Adds</t>
    <phoneticPr fontId="3" type="noConversion"/>
  </si>
  <si>
    <t>D&amp;A</t>
    <phoneticPr fontId="3" type="noConversion"/>
  </si>
  <si>
    <t>Equity</t>
    <phoneticPr fontId="3" type="noConversion"/>
  </si>
  <si>
    <t>기존 사업 기준</t>
    <phoneticPr fontId="3" type="noConversion"/>
  </si>
  <si>
    <t>남미 연결 편입 효과</t>
    <phoneticPr fontId="3" type="noConversion"/>
  </si>
  <si>
    <t>원/달러 환율(분기 평균)</t>
    <phoneticPr fontId="3" type="noConversion"/>
  </si>
  <si>
    <t>￦/$ (Average)</t>
    <phoneticPr fontId="3" type="noConversion"/>
  </si>
  <si>
    <t>MEDSYSTEMS CO.</t>
    <phoneticPr fontId="44" type="noConversion"/>
  </si>
  <si>
    <t>NSON</t>
    <phoneticPr fontId="44" type="noConversion"/>
  </si>
  <si>
    <t xml:space="preserve">주1) 대손상각비는 1Q25까지는 판매비및관리비에 표시된 금액이며, 2Q25부터 연결재무제표 주석의 매출채권 대손상각비에 표시된 내용을 기재하였습니다. </t>
    <phoneticPr fontId="3" type="noConversion"/>
  </si>
  <si>
    <t>Note 1) Bad debt expense through 1Q25 reflects the amount presented under selling and administrative expenses, while figures from 2Q25 onward are based on the bad debt expense related to trade receivables disclosed in the notes to the consolidated financial statements.</t>
    <phoneticPr fontId="3" type="noConversion"/>
  </si>
  <si>
    <t>주1) 대손상각비는 재무상태표의 손실충당금 변동을 역산하여 산출한 금액입니다.</t>
    <phoneticPr fontId="3" type="noConversion"/>
  </si>
  <si>
    <t>Note) (The Bad Debt Expense is derived by back-calculating the movement in the Loss Allowance on the Statement of Financial Position.)</t>
    <phoneticPr fontId="3" type="noConversion"/>
  </si>
  <si>
    <t>CLASSYS 별도</t>
    <phoneticPr fontId="44" type="noConversion"/>
  </si>
  <si>
    <t>요약재무정보(종속기업)</t>
    <phoneticPr fontId="3" type="noConversion"/>
  </si>
  <si>
    <t>CLASSYS 연결</t>
    <phoneticPr fontId="44" type="noConversion"/>
  </si>
  <si>
    <t>매출채권처분이익</t>
    <phoneticPr fontId="3" type="noConversion"/>
  </si>
  <si>
    <t>Gain on Disposal of Trade Receivables</t>
    <phoneticPr fontId="3" type="noConversion"/>
  </si>
  <si>
    <t>Property, Plant and Equipment</t>
    <phoneticPr fontId="3" type="noConversion"/>
  </si>
  <si>
    <t>Gross Profit</t>
  </si>
  <si>
    <t>Operating Profit</t>
  </si>
  <si>
    <t>yoy</t>
  </si>
  <si>
    <t>&lt;수식 수정 전&gt;</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</si>
</sst>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42" formatCode="_-&quot;₩&quot;* #,##0_-;\-&quot;₩&quot;* #,##0_-;_-&quot;₩&quot;* &quot;-&quot;_-;_-@_-"/>
    <numFmt numFmtId="41" formatCode="_-* #,##0_-;\-* #,##0_-;_-* &quot;-&quot;_-;_-@_-"/>
    <numFmt numFmtId="176" formatCode="_-* #,##0.0_-;\-* #,##0.0_-;_-* &quot;-&quot;_-;_-@_-"/>
    <numFmt numFmtId="177" formatCode="_-* #,##0.0_-;\-* #,##0.0_-;_-* &quot;-&quot;??_-;_-@_-"/>
    <numFmt numFmtId="178" formatCode="#,##0_);[Red]\(#,##0\)"/>
    <numFmt numFmtId="179" formatCode="#,##0.00_);[Red]\(#,##0.00\)"/>
    <numFmt numFmtId="180" formatCode="#,##0.0_);[Red]\(#,##0.0\)"/>
    <numFmt numFmtId="181" formatCode="0.0%"/>
    <numFmt numFmtId="182" formatCode="0.0"/>
    <numFmt numFmtId="183" formatCode="0.0_);[Red]\(0.0\)"/>
    <numFmt numFmtId="184" formatCode="0.0_);\(0.0\)"/>
    <numFmt numFmtId="185" formatCode="#,##0.0_);\(#,##0.0\)"/>
    <numFmt numFmtId="186" formatCode="#,##0_);\(#,##0\)"/>
    <numFmt numFmtId="187" formatCode="[Red]\+0.0%;[Blue]\-0.0%"/>
    <numFmt numFmtId="188" formatCode="[Red]\+0.0%\p;[Blue]\-0.0%\p"/>
    <numFmt numFmtId="189" formatCode="[Red]0%;[Blue]\-0%"/>
    <numFmt numFmtId="190" formatCode="#.#%\p"/>
    <numFmt numFmtId="191" formatCode="_(* #,##0_);_(* \(#,##0\);_(* &quot;-&quot;_);_(@_)"/>
    <numFmt numFmtId="192" formatCode="0.0%\p"/>
    <numFmt numFmtId="193" formatCode="#,##0.000_);[Red]\(#,##0.000\)"/>
    <numFmt numFmtId="194" formatCode="0%\p"/>
  </numFmts>
  <fonts count="70">
    <font>
      <sz val="11"/>
      <color theme="1"/>
      <name val="맑은 고딕"/>
      <family val="2"/>
      <charset val="129"/>
      <scheme val="minor"/>
    </font>
    <font>
      <sz val="11"/>
      <color theme="1"/>
      <name val="맑은 고딕"/>
      <family val="2"/>
      <charset val="129"/>
      <scheme val="minor"/>
    </font>
    <font>
      <b/>
      <sz val="9"/>
      <color theme="1"/>
      <name val="맑은 고딕"/>
      <family val="3"/>
      <charset val="129"/>
      <scheme val="minor"/>
    </font>
    <font>
      <sz val="8"/>
      <name val="맑은 고딕"/>
      <family val="2"/>
      <charset val="129"/>
      <scheme val="minor"/>
    </font>
    <font>
      <sz val="9"/>
      <color theme="1"/>
      <name val="맑은 고딕"/>
      <family val="3"/>
      <charset val="129"/>
      <scheme val="minor"/>
    </font>
    <font>
      <b/>
      <sz val="9"/>
      <name val="맑은 고딕"/>
      <family val="3"/>
      <charset val="129"/>
      <scheme val="minor"/>
    </font>
    <font>
      <sz val="9"/>
      <name val="맑은 고딕"/>
      <family val="3"/>
      <charset val="129"/>
      <scheme val="minor"/>
    </font>
    <font>
      <b/>
      <sz val="10"/>
      <color rgb="FFFFFFFF"/>
      <name val="맑은 고딕"/>
      <family val="3"/>
      <charset val="129"/>
    </font>
    <font>
      <sz val="9"/>
      <color rgb="FF575757"/>
      <name val="맑은 고딕"/>
      <family val="3"/>
      <charset val="129"/>
    </font>
    <font>
      <sz val="8"/>
      <color rgb="FF575757"/>
      <name val="맑은 고딕"/>
      <family val="3"/>
      <charset val="129"/>
    </font>
    <font>
      <b/>
      <sz val="9"/>
      <color rgb="FF575757"/>
      <name val="맑은 고딕"/>
      <family val="3"/>
      <charset val="129"/>
    </font>
    <font>
      <b/>
      <sz val="9"/>
      <color rgb="FF37373A"/>
      <name val="맑은 고딕"/>
      <family val="3"/>
      <charset val="129"/>
    </font>
    <font>
      <b/>
      <sz val="9"/>
      <color theme="0"/>
      <name val="맑은 고딕"/>
      <family val="3"/>
      <charset val="129"/>
      <scheme val="minor"/>
    </font>
    <font>
      <sz val="9"/>
      <color theme="1"/>
      <name val="맑은 고딕"/>
      <family val="2"/>
      <scheme val="minor"/>
    </font>
    <font>
      <b/>
      <sz val="9"/>
      <color theme="0"/>
      <name val="맑은 고딕"/>
      <family val="2"/>
      <scheme val="minor"/>
    </font>
    <font>
      <sz val="9"/>
      <name val="맑은 고딕"/>
      <family val="3"/>
      <charset val="129"/>
    </font>
    <font>
      <sz val="9"/>
      <color theme="1"/>
      <name val="맑은 고딕"/>
      <family val="2"/>
      <charset val="129"/>
      <scheme val="minor"/>
    </font>
    <font>
      <sz val="9"/>
      <name val="Arial"/>
      <family val="2"/>
    </font>
    <font>
      <sz val="9"/>
      <color rgb="FF0070C0"/>
      <name val="맑은 고딕"/>
      <family val="2"/>
      <scheme val="minor"/>
    </font>
    <font>
      <b/>
      <sz val="9"/>
      <color theme="1"/>
      <name val="맑은 고딕"/>
      <family val="2"/>
      <scheme val="minor"/>
    </font>
    <font>
      <b/>
      <sz val="9"/>
      <name val="맑은 고딕"/>
      <family val="2"/>
      <scheme val="minor"/>
    </font>
    <font>
      <sz val="9"/>
      <name val="맑은 고딕"/>
      <family val="2"/>
      <scheme val="minor"/>
    </font>
    <font>
      <b/>
      <sz val="9"/>
      <color rgb="FF0070C0"/>
      <name val="맑은 고딕"/>
      <family val="2"/>
      <scheme val="minor"/>
    </font>
    <font>
      <i/>
      <sz val="9"/>
      <color theme="2" tint="-0.499984740745262"/>
      <name val="맑은 고딕"/>
      <family val="2"/>
      <scheme val="minor"/>
    </font>
    <font>
      <b/>
      <i/>
      <sz val="9"/>
      <color theme="2" tint="-0.499984740745262"/>
      <name val="맑은 고딕"/>
      <family val="2"/>
      <scheme val="minor"/>
    </font>
    <font>
      <b/>
      <sz val="9"/>
      <color theme="1" tint="0.499984740745262"/>
      <name val="맑은 고딕"/>
      <family val="2"/>
      <scheme val="minor"/>
    </font>
    <font>
      <sz val="9"/>
      <color theme="1" tint="0.249977111117893"/>
      <name val="맑은 고딕"/>
      <family val="2"/>
      <scheme val="minor"/>
    </font>
    <font>
      <i/>
      <sz val="9"/>
      <name val="맑은 고딕"/>
      <family val="3"/>
      <charset val="129"/>
      <scheme val="minor"/>
    </font>
    <font>
      <sz val="9"/>
      <color theme="0" tint="-0.499984740745262"/>
      <name val="맑은 고딕"/>
      <family val="3"/>
      <charset val="129"/>
      <scheme val="minor"/>
    </font>
    <font>
      <sz val="9"/>
      <color theme="2" tint="-0.249977111117893"/>
      <name val="맑은 고딕"/>
      <family val="2"/>
      <scheme val="minor"/>
    </font>
    <font>
      <sz val="9"/>
      <color theme="0"/>
      <name val="맑은 고딕"/>
      <family val="3"/>
      <charset val="129"/>
      <scheme val="minor"/>
    </font>
    <font>
      <sz val="11"/>
      <color theme="2"/>
      <name val="맑은 고딕"/>
      <family val="2"/>
      <charset val="129"/>
      <scheme val="minor"/>
    </font>
    <font>
      <b/>
      <sz val="9"/>
      <color rgb="FFFFFFFF"/>
      <name val="맑은 고딕"/>
      <family val="3"/>
      <charset val="129"/>
    </font>
    <font>
      <b/>
      <sz val="9"/>
      <color rgb="FF2E3558"/>
      <name val="맑은 고딕"/>
      <family val="3"/>
      <charset val="129"/>
    </font>
    <font>
      <sz val="9"/>
      <color theme="0"/>
      <name val="Arial"/>
      <family val="2"/>
    </font>
    <font>
      <sz val="9"/>
      <color rgb="FF797979"/>
      <name val="맑은 고딕"/>
      <family val="3"/>
      <charset val="129"/>
    </font>
    <font>
      <b/>
      <sz val="9"/>
      <color rgb="FF295E7E"/>
      <name val="맑은 고딕"/>
      <family val="3"/>
      <charset val="129"/>
    </font>
    <font>
      <sz val="9"/>
      <color theme="2"/>
      <name val="맑은 고딕"/>
      <family val="3"/>
      <charset val="129"/>
      <scheme val="minor"/>
    </font>
    <font>
      <i/>
      <sz val="9"/>
      <color theme="2" tint="-0.499984740745262"/>
      <name val="맑은 고딕"/>
      <family val="3"/>
      <charset val="129"/>
      <scheme val="minor"/>
    </font>
    <font>
      <sz val="8"/>
      <color theme="1"/>
      <name val="맑은 고딕"/>
      <family val="3"/>
      <charset val="129"/>
      <scheme val="minor"/>
    </font>
    <font>
      <sz val="11"/>
      <color theme="1"/>
      <name val="맑은 고딕"/>
      <family val="3"/>
      <charset val="129"/>
      <scheme val="minor"/>
    </font>
    <font>
      <sz val="9"/>
      <color rgb="FF2E3558"/>
      <name val="맑은 고딕"/>
      <family val="3"/>
      <charset val="129"/>
    </font>
    <font>
      <b/>
      <sz val="9"/>
      <name val="맑은 고딕"/>
      <family val="3"/>
      <charset val="129"/>
    </font>
    <font>
      <b/>
      <sz val="9"/>
      <name val="Arial"/>
      <family val="2"/>
    </font>
    <font>
      <sz val="8"/>
      <name val="맑은 고딕"/>
      <family val="3"/>
      <charset val="129"/>
    </font>
    <font>
      <b/>
      <sz val="9"/>
      <color theme="1"/>
      <name val="맑은 고딕"/>
      <family val="2"/>
      <charset val="129"/>
      <scheme val="minor"/>
    </font>
    <font>
      <sz val="9"/>
      <color theme="1" tint="0.499984740745262"/>
      <name val="맑은 고딕"/>
      <family val="3"/>
      <charset val="129"/>
      <scheme val="minor"/>
    </font>
    <font>
      <b/>
      <sz val="9"/>
      <color theme="0"/>
      <name val="맑은 고딕"/>
      <family val="3"/>
      <charset val="129"/>
    </font>
    <font>
      <b/>
      <sz val="11"/>
      <color theme="1"/>
      <name val="맑은 고딕"/>
      <family val="3"/>
      <charset val="129"/>
      <scheme val="minor"/>
    </font>
    <font>
      <b/>
      <sz val="9"/>
      <color rgb="FF0070C0"/>
      <name val="맑은 고딕"/>
      <family val="3"/>
      <charset val="129"/>
      <scheme val="minor"/>
    </font>
    <font>
      <sz val="9"/>
      <color theme="2" tint="-9.9978637043366805E-2"/>
      <name val="맑은 고딕"/>
      <family val="2"/>
      <scheme val="minor"/>
    </font>
    <font>
      <sz val="9"/>
      <color theme="0" tint="-0.249977111117893"/>
      <name val="맑은 고딕"/>
      <family val="2"/>
      <scheme val="minor"/>
    </font>
    <font>
      <sz val="9"/>
      <color rgb="FF6D6E71"/>
      <name val="맑은 고딕"/>
      <family val="3"/>
      <charset val="129"/>
      <scheme val="minor"/>
    </font>
    <font>
      <sz val="9"/>
      <color rgb="FF0070C0"/>
      <name val="맑은 고딕"/>
      <family val="3"/>
      <charset val="129"/>
      <scheme val="minor"/>
    </font>
    <font>
      <vertAlign val="superscript"/>
      <sz val="9"/>
      <name val="맑은 고딕"/>
      <family val="3"/>
      <charset val="129"/>
      <scheme val="minor"/>
    </font>
    <font>
      <sz val="9"/>
      <color rgb="FFFF0000"/>
      <name val="맑은 고딕"/>
      <family val="3"/>
      <charset val="129"/>
      <scheme val="minor"/>
    </font>
    <font>
      <b/>
      <sz val="9"/>
      <color rgb="FF000000"/>
      <name val="맑은 고딕"/>
      <family val="3"/>
      <charset val="129"/>
    </font>
    <font>
      <sz val="10"/>
      <color theme="1"/>
      <name val="맑은 고딕"/>
      <family val="3"/>
      <charset val="129"/>
    </font>
    <font>
      <b/>
      <sz val="9"/>
      <color theme="1"/>
      <name val="맑은 고딕"/>
      <family val="3"/>
      <charset val="129"/>
    </font>
    <font>
      <b/>
      <sz val="9"/>
      <color theme="1" tint="0.249977111117893"/>
      <name val="맑은 고딕"/>
      <family val="3"/>
      <charset val="129"/>
      <scheme val="minor"/>
    </font>
    <font>
      <b/>
      <sz val="8"/>
      <color theme="1"/>
      <name val="맑은 고딕"/>
      <family val="2"/>
      <scheme val="minor"/>
    </font>
    <font>
      <sz val="8"/>
      <color theme="1"/>
      <name val="맑은 고딕"/>
      <family val="2"/>
      <scheme val="minor"/>
    </font>
    <font>
      <b/>
      <sz val="8"/>
      <name val="맑은 고딕"/>
      <family val="2"/>
      <scheme val="minor"/>
    </font>
    <font>
      <sz val="11"/>
      <name val="맑은 고딕"/>
      <family val="3"/>
      <charset val="129"/>
      <scheme val="minor"/>
    </font>
    <font>
      <sz val="11"/>
      <color theme="0"/>
      <name val="맑은 고딕"/>
      <family val="3"/>
      <charset val="129"/>
      <scheme val="minor"/>
    </font>
    <font>
      <sz val="9"/>
      <color theme="0"/>
      <name val="맑은 고딕"/>
      <family val="2"/>
      <charset val="129"/>
      <scheme val="minor"/>
    </font>
    <font>
      <b/>
      <sz val="9"/>
      <color theme="0"/>
      <name val="맑은 고딕"/>
      <family val="2"/>
      <charset val="129"/>
      <scheme val="minor"/>
    </font>
    <font>
      <sz val="9"/>
      <color theme="0" tint="-0.14999847407452621"/>
      <name val="맑은 고딕"/>
      <family val="2"/>
      <scheme val="minor"/>
    </font>
    <font>
      <b/>
      <sz val="11"/>
      <color theme="0"/>
      <name val="맑은 고딕"/>
      <family val="3"/>
      <charset val="129"/>
      <scheme val="minor"/>
    </font>
    <font>
      <sz val="8"/>
      <color theme="0"/>
      <name val="맑은 고딕"/>
      <family val="3"/>
      <charset val="129"/>
      <scheme val="minor"/>
    </font>
  </fonts>
  <fills count="15">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E8EAEC"/>
        <bgColor indexed="64"/>
      </patternFill>
    </fill>
    <fill>
      <patternFill patternType="solid">
        <fgColor theme="8" tint="0.79998168889431442"/>
        <bgColor indexed="64"/>
      </patternFill>
    </fill>
    <fill>
      <patternFill patternType="solid">
        <fgColor theme="2"/>
        <bgColor indexed="64"/>
      </patternFill>
    </fill>
    <fill>
      <patternFill patternType="solid">
        <fgColor theme="1" tint="0.34998626667073579"/>
        <bgColor indexed="64"/>
      </patternFill>
    </fill>
    <fill>
      <patternFill patternType="solid">
        <fgColor theme="3" tint="0.79998168889431442"/>
        <bgColor indexed="64"/>
      </patternFill>
    </fill>
    <fill>
      <patternFill patternType="solid">
        <fgColor theme="8" tint="0.39997558519241921"/>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0"/>
        <bgColor indexed="64"/>
      </patternFill>
    </fill>
    <fill>
      <patternFill patternType="solid">
        <fgColor theme="2" tint="-9.9978637043366805E-2"/>
        <bgColor indexed="64"/>
      </patternFill>
    </fill>
    <fill>
      <patternFill patternType="solid">
        <fgColor theme="0" tint="-0.34998626667073579"/>
        <bgColor indexed="64"/>
      </patternFill>
    </fill>
  </fills>
  <borders count="148">
    <border>
      <left/>
      <right/>
      <top/>
      <bottom/>
      <diagonal/>
    </border>
    <border>
      <left/>
      <right/>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rgb="FF575757"/>
      </left>
      <right style="thin">
        <color rgb="FF575757"/>
      </right>
      <top style="thin">
        <color rgb="FF575757"/>
      </top>
      <bottom/>
      <diagonal/>
    </border>
    <border>
      <left style="thin">
        <color rgb="FF575757"/>
      </left>
      <right style="thin">
        <color rgb="FF575757"/>
      </right>
      <top/>
      <bottom/>
      <diagonal/>
    </border>
    <border>
      <left style="thin">
        <color rgb="FF575757"/>
      </left>
      <right style="thin">
        <color rgb="FF575757"/>
      </right>
      <top/>
      <bottom style="thin">
        <color rgb="FF575757"/>
      </bottom>
      <diagonal/>
    </border>
    <border>
      <left style="thin">
        <color rgb="FF575757"/>
      </left>
      <right style="thin">
        <color rgb="FF575757"/>
      </right>
      <top/>
      <bottom style="medium">
        <color rgb="FF575757"/>
      </bottom>
      <diagonal/>
    </border>
    <border>
      <left style="thin">
        <color rgb="FF575757"/>
      </left>
      <right style="thin">
        <color rgb="FF575757"/>
      </right>
      <top style="medium">
        <color rgb="FF575757"/>
      </top>
      <bottom/>
      <diagonal/>
    </border>
    <border>
      <left style="thin">
        <color rgb="FF575757"/>
      </left>
      <right/>
      <top style="thin">
        <color rgb="FF575757"/>
      </top>
      <bottom/>
      <diagonal/>
    </border>
    <border>
      <left/>
      <right/>
      <top style="thin">
        <color rgb="FF575757"/>
      </top>
      <bottom/>
      <diagonal/>
    </border>
    <border>
      <left/>
      <right style="thin">
        <color rgb="FF575757"/>
      </right>
      <top style="thin">
        <color rgb="FF575757"/>
      </top>
      <bottom/>
      <diagonal/>
    </border>
    <border>
      <left style="thin">
        <color rgb="FF575757"/>
      </left>
      <right/>
      <top/>
      <bottom style="medium">
        <color rgb="FFFFFFFF"/>
      </bottom>
      <diagonal/>
    </border>
    <border>
      <left/>
      <right/>
      <top/>
      <bottom style="medium">
        <color rgb="FFDADADA"/>
      </bottom>
      <diagonal/>
    </border>
    <border>
      <left/>
      <right style="thin">
        <color rgb="FF575757"/>
      </right>
      <top/>
      <bottom style="medium">
        <color rgb="FFDADADA"/>
      </bottom>
      <diagonal/>
    </border>
    <border>
      <left style="thin">
        <color rgb="FF575757"/>
      </left>
      <right style="thin">
        <color rgb="FF575757"/>
      </right>
      <top/>
      <bottom style="medium">
        <color rgb="FFDADADA"/>
      </bottom>
      <diagonal/>
    </border>
    <border>
      <left style="thin">
        <color rgb="FF575757"/>
      </left>
      <right style="medium">
        <color rgb="FFDADADA"/>
      </right>
      <top style="medium">
        <color rgb="FFFFFFFF"/>
      </top>
      <bottom style="medium">
        <color rgb="FFFFFFFF"/>
      </bottom>
      <diagonal/>
    </border>
    <border>
      <left style="thin">
        <color rgb="FF575757"/>
      </left>
      <right style="medium">
        <color rgb="FFDADADA"/>
      </right>
      <top style="medium">
        <color rgb="FFFFFFFF"/>
      </top>
      <bottom/>
      <diagonal/>
    </border>
    <border>
      <left style="thin">
        <color rgb="FF575757"/>
      </left>
      <right style="medium">
        <color rgb="FFDADADA"/>
      </right>
      <top/>
      <bottom/>
      <diagonal/>
    </border>
    <border>
      <left style="thin">
        <color rgb="FF575757"/>
      </left>
      <right style="medium">
        <color rgb="FFDADADA"/>
      </right>
      <top/>
      <bottom style="medium">
        <color rgb="FFFFFFFF"/>
      </bottom>
      <diagonal/>
    </border>
    <border>
      <left style="medium">
        <color rgb="FFDADADA"/>
      </left>
      <right/>
      <top style="medium">
        <color rgb="FFDADADA"/>
      </top>
      <bottom style="medium">
        <color rgb="FFDADADA"/>
      </bottom>
      <diagonal/>
    </border>
    <border>
      <left/>
      <right style="thin">
        <color rgb="FF575757"/>
      </right>
      <top style="medium">
        <color rgb="FFDADADA"/>
      </top>
      <bottom style="medium">
        <color rgb="FFDADADA"/>
      </bottom>
      <diagonal/>
    </border>
    <border>
      <left style="thin">
        <color rgb="FF575757"/>
      </left>
      <right style="thin">
        <color rgb="FF575757"/>
      </right>
      <top style="medium">
        <color rgb="FFDADADA"/>
      </top>
      <bottom style="medium">
        <color rgb="FFDADADA"/>
      </bottom>
      <diagonal/>
    </border>
    <border>
      <left style="medium">
        <color rgb="FFDADADA"/>
      </left>
      <right style="medium">
        <color rgb="FFDADADA"/>
      </right>
      <top style="medium">
        <color rgb="FFDADADA"/>
      </top>
      <bottom style="medium">
        <color rgb="FFFFFFFF"/>
      </bottom>
      <diagonal/>
    </border>
    <border>
      <left style="medium">
        <color rgb="FFDADADA"/>
      </left>
      <right style="thin">
        <color rgb="FF575757"/>
      </right>
      <top style="medium">
        <color rgb="FFDADADA"/>
      </top>
      <bottom style="medium">
        <color rgb="FFFFFFFF"/>
      </bottom>
      <diagonal/>
    </border>
    <border>
      <left style="thin">
        <color rgb="FF575757"/>
      </left>
      <right style="thin">
        <color rgb="FF575757"/>
      </right>
      <top style="medium">
        <color rgb="FFDADADA"/>
      </top>
      <bottom style="medium">
        <color rgb="FFFFFFFF"/>
      </bottom>
      <diagonal/>
    </border>
    <border>
      <left style="medium">
        <color rgb="FFDADADA"/>
      </left>
      <right style="medium">
        <color rgb="FFDADADA"/>
      </right>
      <top style="medium">
        <color rgb="FFFFFFFF"/>
      </top>
      <bottom style="medium">
        <color rgb="FFFFFFFF"/>
      </bottom>
      <diagonal/>
    </border>
    <border>
      <left style="medium">
        <color rgb="FFDADADA"/>
      </left>
      <right style="thin">
        <color rgb="FF575757"/>
      </right>
      <top style="medium">
        <color rgb="FFFFFFFF"/>
      </top>
      <bottom style="medium">
        <color rgb="FFFFFFFF"/>
      </bottom>
      <diagonal/>
    </border>
    <border>
      <left style="thin">
        <color rgb="FF575757"/>
      </left>
      <right style="thin">
        <color rgb="FF575757"/>
      </right>
      <top style="medium">
        <color rgb="FFFFFFFF"/>
      </top>
      <bottom style="medium">
        <color rgb="FFFFFFFF"/>
      </bottom>
      <diagonal/>
    </border>
    <border>
      <left style="medium">
        <color rgb="FFDADADA"/>
      </left>
      <right style="thin">
        <color rgb="FF575757"/>
      </right>
      <top style="medium">
        <color rgb="FFFFFFFF"/>
      </top>
      <bottom style="medium">
        <color rgb="FFDADADA"/>
      </bottom>
      <diagonal/>
    </border>
    <border>
      <left style="thin">
        <color rgb="FF575757"/>
      </left>
      <right style="thin">
        <color rgb="FF575757"/>
      </right>
      <top style="medium">
        <color rgb="FFFFFFFF"/>
      </top>
      <bottom style="medium">
        <color rgb="FFDADADA"/>
      </bottom>
      <diagonal/>
    </border>
    <border>
      <left style="thin">
        <color rgb="FF575757"/>
      </left>
      <right/>
      <top style="medium">
        <color rgb="FFFFFFFF"/>
      </top>
      <bottom style="medium">
        <color rgb="FFFFFFFF"/>
      </bottom>
      <diagonal/>
    </border>
    <border>
      <left/>
      <right/>
      <top style="medium">
        <color rgb="FFFFFFFF"/>
      </top>
      <bottom style="medium">
        <color rgb="FFFFFFFF"/>
      </bottom>
      <diagonal/>
    </border>
    <border>
      <left/>
      <right style="thin">
        <color rgb="FF575757"/>
      </right>
      <top style="medium">
        <color rgb="FFFFFFFF"/>
      </top>
      <bottom style="medium">
        <color rgb="FFDADADA"/>
      </bottom>
      <diagonal/>
    </border>
    <border>
      <left/>
      <right style="thin">
        <color rgb="FF575757"/>
      </right>
      <top style="medium">
        <color rgb="FFFFFFFF"/>
      </top>
      <bottom style="medium">
        <color rgb="FFFFFFFF"/>
      </bottom>
      <diagonal/>
    </border>
    <border>
      <left style="thin">
        <color rgb="FF575757"/>
      </left>
      <right/>
      <top style="medium">
        <color rgb="FFFFFFFF"/>
      </top>
      <bottom/>
      <diagonal/>
    </border>
    <border>
      <left/>
      <right/>
      <top style="medium">
        <color rgb="FFFFFFFF"/>
      </top>
      <bottom/>
      <diagonal/>
    </border>
    <border>
      <left style="thin">
        <color rgb="FF575757"/>
      </left>
      <right style="medium">
        <color rgb="FFDADADA"/>
      </right>
      <top style="thick">
        <color rgb="FFFFFFFF"/>
      </top>
      <bottom/>
      <diagonal/>
    </border>
    <border>
      <left style="medium">
        <color rgb="FFDADADA"/>
      </left>
      <right/>
      <top style="medium">
        <color rgb="FFDADADA"/>
      </top>
      <bottom/>
      <diagonal/>
    </border>
    <border>
      <left style="medium">
        <color rgb="FFDADADA"/>
      </left>
      <right/>
      <top/>
      <bottom/>
      <diagonal/>
    </border>
    <border>
      <left style="medium">
        <color rgb="FFDADADA"/>
      </left>
      <right/>
      <top/>
      <bottom style="medium">
        <color rgb="FFDADADA"/>
      </bottom>
      <diagonal/>
    </border>
    <border>
      <left/>
      <right/>
      <top style="medium">
        <color rgb="FFFFFFFF"/>
      </top>
      <bottom style="medium">
        <color rgb="FFDADADA"/>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dashed">
        <color theme="2" tint="-0.749992370372631"/>
      </left>
      <right style="dashed">
        <color theme="2" tint="-0.749992370372631"/>
      </right>
      <top/>
      <bottom/>
      <diagonal/>
    </border>
    <border>
      <left style="medium">
        <color indexed="64"/>
      </left>
      <right style="dashed">
        <color theme="2" tint="-0.749992370372631"/>
      </right>
      <top/>
      <bottom/>
      <diagonal/>
    </border>
    <border>
      <left style="medium">
        <color indexed="64"/>
      </left>
      <right style="dashed">
        <color theme="2" tint="-0.749992370372631"/>
      </right>
      <top/>
      <bottom style="medium">
        <color indexed="64"/>
      </bottom>
      <diagonal/>
    </border>
    <border>
      <left/>
      <right style="dashed">
        <color theme="2" tint="-0.749992370372631"/>
      </right>
      <top/>
      <bottom style="medium">
        <color indexed="64"/>
      </bottom>
      <diagonal/>
    </border>
    <border>
      <left/>
      <right style="dashed">
        <color theme="2" tint="-0.749992370372631"/>
      </right>
      <top/>
      <bottom/>
      <diagonal/>
    </border>
    <border>
      <left style="medium">
        <color theme="2" tint="-0.749992370372631"/>
      </left>
      <right/>
      <top style="medium">
        <color theme="2" tint="-0.749992370372631"/>
      </top>
      <bottom/>
      <diagonal/>
    </border>
    <border>
      <left/>
      <right/>
      <top style="medium">
        <color theme="2" tint="-0.749992370372631"/>
      </top>
      <bottom/>
      <diagonal/>
    </border>
    <border>
      <left/>
      <right style="medium">
        <color theme="2" tint="-0.749992370372631"/>
      </right>
      <top style="medium">
        <color theme="2" tint="-0.749992370372631"/>
      </top>
      <bottom/>
      <diagonal/>
    </border>
    <border>
      <left style="medium">
        <color theme="2" tint="-0.749992370372631"/>
      </left>
      <right/>
      <top/>
      <bottom/>
      <diagonal/>
    </border>
    <border>
      <left/>
      <right style="medium">
        <color theme="2" tint="-0.749992370372631"/>
      </right>
      <top/>
      <bottom/>
      <diagonal/>
    </border>
    <border>
      <left style="medium">
        <color theme="2" tint="-0.749992370372631"/>
      </left>
      <right/>
      <top/>
      <bottom style="medium">
        <color theme="2" tint="-0.749992370372631"/>
      </bottom>
      <diagonal/>
    </border>
    <border>
      <left/>
      <right/>
      <top/>
      <bottom style="medium">
        <color theme="2" tint="-0.749992370372631"/>
      </bottom>
      <diagonal/>
    </border>
    <border>
      <left/>
      <right style="medium">
        <color theme="2" tint="-0.749992370372631"/>
      </right>
      <top/>
      <bottom style="medium">
        <color theme="2" tint="-0.749992370372631"/>
      </bottom>
      <diagonal/>
    </border>
    <border>
      <left/>
      <right style="dashed">
        <color theme="2" tint="-0.749992370372631"/>
      </right>
      <top/>
      <bottom style="medium">
        <color theme="2" tint="-0.749992370372631"/>
      </bottom>
      <diagonal/>
    </border>
    <border>
      <left style="dashed">
        <color theme="2" tint="-0.749992370372631"/>
      </left>
      <right style="dashed">
        <color theme="2" tint="-0.749992370372631"/>
      </right>
      <top/>
      <bottom style="medium">
        <color theme="2" tint="-0.749992370372631"/>
      </bottom>
      <diagonal/>
    </border>
    <border>
      <left style="medium">
        <color theme="2" tint="-0.749992370372631"/>
      </left>
      <right style="medium">
        <color theme="2" tint="-0.749992370372631"/>
      </right>
      <top/>
      <bottom/>
      <diagonal/>
    </border>
    <border>
      <left style="medium">
        <color theme="2" tint="-0.749992370372631"/>
      </left>
      <right style="dashed">
        <color theme="2" tint="-0.749992370372631"/>
      </right>
      <top/>
      <bottom/>
      <diagonal/>
    </border>
    <border>
      <left style="medium">
        <color theme="2" tint="-0.749992370372631"/>
      </left>
      <right/>
      <top/>
      <bottom style="medium">
        <color indexed="64"/>
      </bottom>
      <diagonal/>
    </border>
    <border>
      <left/>
      <right style="dotted">
        <color indexed="64"/>
      </right>
      <top/>
      <bottom/>
      <diagonal/>
    </border>
    <border>
      <left/>
      <right style="dotted">
        <color indexed="64"/>
      </right>
      <top style="medium">
        <color indexed="64"/>
      </top>
      <bottom/>
      <diagonal/>
    </border>
    <border>
      <left/>
      <right style="dotted">
        <color indexed="64"/>
      </right>
      <top/>
      <bottom style="medium">
        <color indexed="64"/>
      </bottom>
      <diagonal/>
    </border>
    <border>
      <left style="medium">
        <color theme="2" tint="-0.749992370372631"/>
      </left>
      <right style="dashed">
        <color theme="2" tint="-0.749992370372631"/>
      </right>
      <top/>
      <bottom style="medium">
        <color indexed="64"/>
      </bottom>
      <diagonal/>
    </border>
    <border>
      <left style="dashed">
        <color theme="2" tint="-0.749992370372631"/>
      </left>
      <right style="dashed">
        <color theme="2" tint="-0.749992370372631"/>
      </right>
      <top/>
      <bottom style="medium">
        <color indexed="64"/>
      </bottom>
      <diagonal/>
    </border>
    <border>
      <left/>
      <right style="medium">
        <color theme="2" tint="-0.749992370372631"/>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medium">
        <color indexed="64"/>
      </left>
      <right style="medium">
        <color theme="2" tint="-0.749992370372631"/>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theme="2" tint="-0.749992370372631"/>
      </right>
      <top style="medium">
        <color indexed="64"/>
      </top>
      <bottom style="medium">
        <color indexed="64"/>
      </bottom>
      <diagonal/>
    </border>
    <border>
      <left style="medium">
        <color theme="2" tint="-0.749992370372631"/>
      </left>
      <right style="dashed">
        <color theme="2" tint="-0.749992370372631"/>
      </right>
      <top style="medium">
        <color indexed="64"/>
      </top>
      <bottom style="medium">
        <color indexed="64"/>
      </bottom>
      <diagonal/>
    </border>
    <border>
      <left style="dashed">
        <color theme="2" tint="-0.749992370372631"/>
      </left>
      <right style="dashed">
        <color theme="2" tint="-0.749992370372631"/>
      </right>
      <top style="medium">
        <color indexed="64"/>
      </top>
      <bottom style="medium">
        <color indexed="64"/>
      </bottom>
      <diagonal/>
    </border>
    <border>
      <left style="medium">
        <color theme="2" tint="-0.749992370372631"/>
      </left>
      <right/>
      <top style="medium">
        <color indexed="64"/>
      </top>
      <bottom style="medium">
        <color indexed="64"/>
      </bottom>
      <diagonal/>
    </border>
    <border>
      <left/>
      <right/>
      <top style="medium">
        <color indexed="64"/>
      </top>
      <bottom style="medium">
        <color indexed="64"/>
      </bottom>
      <diagonal/>
    </border>
    <border>
      <left/>
      <right style="dashed">
        <color theme="2" tint="-0.749992370372631"/>
      </right>
      <top style="medium">
        <color indexed="64"/>
      </top>
      <bottom style="medium">
        <color indexed="64"/>
      </bottom>
      <diagonal/>
    </border>
    <border>
      <left/>
      <right style="thin">
        <color rgb="FF575757"/>
      </right>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medium">
        <color indexed="64"/>
      </right>
      <top style="medium">
        <color indexed="64"/>
      </top>
      <bottom style="medium">
        <color indexed="64"/>
      </bottom>
      <diagonal/>
    </border>
    <border>
      <left style="medium">
        <color indexed="64"/>
      </left>
      <right style="dotted">
        <color indexed="64"/>
      </right>
      <top/>
      <bottom/>
      <diagonal/>
    </border>
    <border>
      <left style="medium">
        <color indexed="64"/>
      </left>
      <right style="dotted">
        <color indexed="64"/>
      </right>
      <top style="medium">
        <color indexed="64"/>
      </top>
      <bottom/>
      <diagonal/>
    </border>
    <border>
      <left/>
      <right/>
      <top style="thin">
        <color indexed="64"/>
      </top>
      <bottom/>
      <diagonal/>
    </border>
    <border>
      <left/>
      <right/>
      <top/>
      <bottom style="thin">
        <color indexed="64"/>
      </bottom>
      <diagonal/>
    </border>
    <border>
      <left/>
      <right style="dotted">
        <color indexed="64"/>
      </right>
      <top style="thin">
        <color indexed="64"/>
      </top>
      <bottom/>
      <diagonal/>
    </border>
    <border>
      <left/>
      <right style="dotted">
        <color indexed="64"/>
      </right>
      <top/>
      <bottom style="thin">
        <color indexed="64"/>
      </bottom>
      <diagonal/>
    </border>
    <border>
      <left style="dotted">
        <color indexed="64"/>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indexed="64"/>
      </right>
      <top style="thin">
        <color auto="1"/>
      </top>
      <bottom style="thin">
        <color auto="1"/>
      </bottom>
      <diagonal/>
    </border>
    <border>
      <left style="medium">
        <color indexed="64"/>
      </left>
      <right style="dashed">
        <color theme="2" tint="-0.749992370372631"/>
      </right>
      <top style="medium">
        <color indexed="64"/>
      </top>
      <bottom style="medium">
        <color indexed="64"/>
      </bottom>
      <diagonal/>
    </border>
    <border>
      <left style="medium">
        <color indexed="64"/>
      </left>
      <right style="dotted">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dotted">
        <color indexed="64"/>
      </left>
      <right/>
      <top/>
      <bottom style="thin">
        <color indexed="64"/>
      </bottom>
      <diagonal/>
    </border>
    <border>
      <left style="medium">
        <color indexed="64"/>
      </left>
      <right style="dotted">
        <color indexed="64"/>
      </right>
      <top/>
      <bottom style="medium">
        <color indexed="64"/>
      </bottom>
      <diagonal/>
    </border>
    <border>
      <left style="dotted">
        <color indexed="64"/>
      </left>
      <right style="medium">
        <color indexed="64"/>
      </right>
      <top/>
      <bottom style="medium">
        <color indexed="64"/>
      </bottom>
      <diagonal/>
    </border>
    <border>
      <left/>
      <right/>
      <top/>
      <bottom style="medium">
        <color rgb="FFFFFFFF"/>
      </bottom>
      <diagonal/>
    </border>
    <border>
      <left style="medium">
        <color indexed="64"/>
      </left>
      <right/>
      <top style="medium">
        <color indexed="64"/>
      </top>
      <bottom style="medium">
        <color indexed="64"/>
      </bottom>
      <diagonal/>
    </border>
    <border>
      <left style="medium">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style="dotted">
        <color indexed="64"/>
      </left>
      <right/>
      <top style="thin">
        <color indexed="64"/>
      </top>
      <bottom/>
      <diagonal/>
    </border>
    <border>
      <left style="thin">
        <color theme="2" tint="-0.749992370372631"/>
      </left>
      <right style="dashed">
        <color theme="2" tint="-0.749992370372631"/>
      </right>
      <top/>
      <bottom style="medium">
        <color theme="2" tint="-0.749992370372631"/>
      </bottom>
      <diagonal/>
    </border>
    <border>
      <left style="thin">
        <color theme="2" tint="-0.749992370372631"/>
      </left>
      <right style="dashed">
        <color theme="2" tint="-0.749992370372631"/>
      </right>
      <top/>
      <bottom/>
      <diagonal/>
    </border>
    <border>
      <left/>
      <right style="thin">
        <color rgb="FF575757"/>
      </right>
      <top style="medium">
        <color rgb="FFFFFFFF"/>
      </top>
      <bottom/>
      <diagonal/>
    </border>
    <border>
      <left style="thin">
        <color rgb="FF575757"/>
      </left>
      <right style="thin">
        <color rgb="FF575757"/>
      </right>
      <top style="medium">
        <color rgb="FFFFFFFF"/>
      </top>
      <bottom/>
      <diagonal/>
    </border>
    <border>
      <left style="thin">
        <color rgb="FF575757"/>
      </left>
      <right/>
      <top/>
      <bottom/>
      <diagonal/>
    </border>
    <border>
      <left style="medium">
        <color theme="2" tint="-0.749992370372631"/>
      </left>
      <right style="medium">
        <color theme="2" tint="-0.749992370372631"/>
      </right>
      <top style="medium">
        <color theme="2" tint="-0.749992370372631"/>
      </top>
      <bottom style="medium">
        <color theme="2" tint="-0.749992370372631"/>
      </bottom>
      <diagonal/>
    </border>
    <border>
      <left style="thin">
        <color indexed="64"/>
      </left>
      <right style="thin">
        <color indexed="64"/>
      </right>
      <top style="medium">
        <color theme="2" tint="-0.749992370372631"/>
      </top>
      <bottom style="medium">
        <color theme="2" tint="-0.749992370372631"/>
      </bottom>
      <diagonal/>
    </border>
    <border>
      <left style="medium">
        <color theme="2" tint="-0.749992370372631"/>
      </left>
      <right/>
      <top style="medium">
        <color theme="2" tint="-0.749992370372631"/>
      </top>
      <bottom style="medium">
        <color theme="2" tint="-0.749992370372631"/>
      </bottom>
      <diagonal/>
    </border>
    <border>
      <left/>
      <right/>
      <top style="medium">
        <color theme="2" tint="-0.749992370372631"/>
      </top>
      <bottom style="medium">
        <color theme="2" tint="-0.749992370372631"/>
      </bottom>
      <diagonal/>
    </border>
    <border>
      <left/>
      <right style="medium">
        <color theme="2" tint="-0.749992370372631"/>
      </right>
      <top style="medium">
        <color theme="2" tint="-0.749992370372631"/>
      </top>
      <bottom style="medium">
        <color theme="2" tint="-0.749992370372631"/>
      </bottom>
      <diagonal/>
    </border>
    <border>
      <left style="medium">
        <color theme="2" tint="-0.749992370372631"/>
      </left>
      <right style="dashed">
        <color theme="2" tint="-0.749992370372631"/>
      </right>
      <top style="medium">
        <color theme="2" tint="-0.749992370372631"/>
      </top>
      <bottom style="medium">
        <color theme="2" tint="-0.749992370372631"/>
      </bottom>
      <diagonal/>
    </border>
    <border>
      <left/>
      <right style="dashed">
        <color theme="2" tint="-0.749992370372631"/>
      </right>
      <top style="medium">
        <color theme="2" tint="-0.749992370372631"/>
      </top>
      <bottom style="medium">
        <color theme="2" tint="-0.749992370372631"/>
      </bottom>
      <diagonal/>
    </border>
    <border>
      <left style="dashed">
        <color theme="2" tint="-0.749992370372631"/>
      </left>
      <right style="dashed">
        <color theme="2" tint="-0.749992370372631"/>
      </right>
      <top style="medium">
        <color theme="2" tint="-0.749992370372631"/>
      </top>
      <bottom style="medium">
        <color theme="2" tint="-0.749992370372631"/>
      </bottom>
      <diagonal/>
    </border>
    <border>
      <left style="medium">
        <color theme="2" tint="-0.749992370372631"/>
      </left>
      <right style="dotted">
        <color theme="2" tint="-0.749992370372631"/>
      </right>
      <top style="medium">
        <color indexed="64"/>
      </top>
      <bottom style="medium">
        <color indexed="64"/>
      </bottom>
      <diagonal/>
    </border>
    <border>
      <left style="dotted">
        <color theme="2" tint="-0.749992370372631"/>
      </left>
      <right style="dotted">
        <color theme="2" tint="-0.749992370372631"/>
      </right>
      <top style="medium">
        <color indexed="64"/>
      </top>
      <bottom style="medium">
        <color indexed="64"/>
      </bottom>
      <diagonal/>
    </border>
    <border>
      <left style="dotted">
        <color theme="2" tint="-0.749992370372631"/>
      </left>
      <right style="medium">
        <color theme="2" tint="-0.749992370372631"/>
      </right>
      <top style="medium">
        <color indexed="64"/>
      </top>
      <bottom style="medium">
        <color indexed="64"/>
      </bottom>
      <diagonal/>
    </border>
    <border>
      <left style="dotted">
        <color indexed="64"/>
      </left>
      <right/>
      <top style="medium">
        <color indexed="64"/>
      </top>
      <bottom style="medium">
        <color indexed="64"/>
      </bottom>
      <diagonal/>
    </border>
    <border>
      <left style="medium">
        <color theme="2" tint="-0.749992370372631"/>
      </left>
      <right style="dotted">
        <color indexed="64"/>
      </right>
      <top/>
      <bottom/>
      <diagonal/>
    </border>
    <border>
      <left style="dotted">
        <color indexed="64"/>
      </left>
      <right style="dashed">
        <color theme="2" tint="-0.749992370372631"/>
      </right>
      <top/>
      <bottom/>
      <diagonal/>
    </border>
    <border>
      <left style="medium">
        <color theme="2" tint="-0.749992370372631"/>
      </left>
      <right style="dotted">
        <color indexed="64"/>
      </right>
      <top style="medium">
        <color theme="2" tint="-0.749992370372631"/>
      </top>
      <bottom style="medium">
        <color theme="2" tint="-0.749992370372631"/>
      </bottom>
      <diagonal/>
    </border>
    <border>
      <left style="dotted">
        <color indexed="64"/>
      </left>
      <right style="dashed">
        <color theme="2" tint="-0.749992370372631"/>
      </right>
      <top style="medium">
        <color theme="2" tint="-0.749992370372631"/>
      </top>
      <bottom style="medium">
        <color theme="2" tint="-0.749992370372631"/>
      </bottom>
      <diagonal/>
    </border>
    <border>
      <left style="medium">
        <color theme="2" tint="-0.749992370372631"/>
      </left>
      <right style="dotted">
        <color indexed="64"/>
      </right>
      <top/>
      <bottom style="medium">
        <color indexed="64"/>
      </bottom>
      <diagonal/>
    </border>
    <border>
      <left style="dotted">
        <color indexed="64"/>
      </left>
      <right style="dashed">
        <color theme="2" tint="-0.749992370372631"/>
      </right>
      <top/>
      <bottom style="medium">
        <color indexed="64"/>
      </bottom>
      <diagonal/>
    </border>
    <border>
      <left style="medium">
        <color theme="2" tint="-0.749992370372631"/>
      </left>
      <right style="dotted">
        <color theme="2" tint="-0.749992370372631"/>
      </right>
      <top/>
      <bottom/>
      <diagonal/>
    </border>
    <border>
      <left style="dotted">
        <color theme="2" tint="-0.749992370372631"/>
      </left>
      <right style="dashed">
        <color theme="2" tint="-0.749992370372631"/>
      </right>
      <top/>
      <bottom/>
      <diagonal/>
    </border>
    <border>
      <left style="medium">
        <color theme="2" tint="-0.749992370372631"/>
      </left>
      <right style="dotted">
        <color theme="2" tint="-0.749992370372631"/>
      </right>
      <top style="medium">
        <color theme="2" tint="-0.749992370372631"/>
      </top>
      <bottom style="medium">
        <color theme="2" tint="-0.749992370372631"/>
      </bottom>
      <diagonal/>
    </border>
    <border>
      <left style="dotted">
        <color theme="2" tint="-0.749992370372631"/>
      </left>
      <right style="dashed">
        <color theme="2" tint="-0.749992370372631"/>
      </right>
      <top style="medium">
        <color theme="2" tint="-0.749992370372631"/>
      </top>
      <bottom style="medium">
        <color theme="2" tint="-0.749992370372631"/>
      </bottom>
      <diagonal/>
    </border>
    <border>
      <left style="dotted">
        <color theme="2" tint="-0.749992370372631"/>
      </left>
      <right style="dashed">
        <color theme="2" tint="-0.749992370372631"/>
      </right>
      <top style="medium">
        <color indexed="64"/>
      </top>
      <bottom style="medium">
        <color indexed="64"/>
      </bottom>
      <diagonal/>
    </border>
  </borders>
  <cellStyleXfs count="6">
    <xf numFmtId="0" fontId="0" fillId="0" borderId="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57" fillId="0" borderId="0">
      <alignment vertical="center"/>
    </xf>
    <xf numFmtId="191" fontId="57" fillId="0" borderId="0" applyFont="0" applyFill="0" applyBorder="0" applyAlignment="0" applyProtection="0">
      <alignment vertical="center"/>
    </xf>
  </cellStyleXfs>
  <cellXfs count="1063">
    <xf numFmtId="0" fontId="0" fillId="0" borderId="0" xfId="0">
      <alignment vertical="center"/>
    </xf>
    <xf numFmtId="0" fontId="2" fillId="0" borderId="0" xfId="0" applyFont="1">
      <alignment vertical="center"/>
    </xf>
    <xf numFmtId="41" fontId="2" fillId="0" borderId="0" xfId="2" applyFont="1" applyFill="1" applyBorder="1" applyAlignment="1">
      <alignment horizontal="right" vertical="center"/>
    </xf>
    <xf numFmtId="0" fontId="4" fillId="0" borderId="0" xfId="0" applyFont="1">
      <alignment vertical="center"/>
    </xf>
    <xf numFmtId="41" fontId="4" fillId="0" borderId="0" xfId="2" applyFont="1" applyFill="1" applyBorder="1" applyAlignment="1">
      <alignment horizontal="right" vertical="center"/>
    </xf>
    <xf numFmtId="178" fontId="4" fillId="0" borderId="0" xfId="2" applyNumberFormat="1" applyFont="1" applyFill="1" applyBorder="1" applyAlignment="1">
      <alignment horizontal="right" vertical="center"/>
    </xf>
    <xf numFmtId="0" fontId="14" fillId="7" borderId="56" xfId="0" applyFont="1" applyFill="1" applyBorder="1" applyAlignment="1">
      <alignment horizontal="center" vertical="center"/>
    </xf>
    <xf numFmtId="9" fontId="13" fillId="0" borderId="0" xfId="1" applyFont="1" applyFill="1" applyBorder="1">
      <alignment vertical="center"/>
    </xf>
    <xf numFmtId="0" fontId="13" fillId="0" borderId="0" xfId="0" applyFont="1">
      <alignment vertical="center"/>
    </xf>
    <xf numFmtId="0" fontId="14" fillId="0" borderId="0" xfId="0" applyFont="1" applyAlignment="1">
      <alignment horizontal="center" vertical="center"/>
    </xf>
    <xf numFmtId="9" fontId="13" fillId="0" borderId="0" xfId="1" applyFont="1" applyFill="1" applyBorder="1" applyAlignment="1">
      <alignment horizontal="right" vertical="center"/>
    </xf>
    <xf numFmtId="0" fontId="7" fillId="9" borderId="8" xfId="0" applyFont="1" applyFill="1" applyBorder="1" applyAlignment="1">
      <alignment horizontal="center" vertical="center" wrapText="1" readingOrder="1"/>
    </xf>
    <xf numFmtId="0" fontId="15" fillId="0" borderId="9" xfId="0" applyFont="1" applyBorder="1" applyAlignment="1">
      <alignment horizontal="center" vertical="center" wrapText="1" readingOrder="1"/>
    </xf>
    <xf numFmtId="0" fontId="16" fillId="0" borderId="0" xfId="0" applyFont="1">
      <alignment vertical="center"/>
    </xf>
    <xf numFmtId="0" fontId="19" fillId="0" borderId="0" xfId="0" applyFont="1">
      <alignment vertical="center"/>
    </xf>
    <xf numFmtId="178" fontId="13" fillId="0" borderId="0" xfId="1" applyNumberFormat="1" applyFont="1" applyFill="1" applyBorder="1">
      <alignment vertical="center"/>
    </xf>
    <xf numFmtId="0" fontId="14" fillId="7" borderId="46" xfId="0" applyFont="1" applyFill="1" applyBorder="1" applyAlignment="1">
      <alignment horizontal="left" vertical="center"/>
    </xf>
    <xf numFmtId="0" fontId="14" fillId="7" borderId="46" xfId="0" applyFont="1" applyFill="1" applyBorder="1" applyAlignment="1">
      <alignment horizontal="center" vertical="center"/>
    </xf>
    <xf numFmtId="0" fontId="19" fillId="8" borderId="3" xfId="0" applyFont="1" applyFill="1" applyBorder="1" applyAlignment="1">
      <alignment horizontal="left" vertical="center"/>
    </xf>
    <xf numFmtId="0" fontId="19" fillId="8" borderId="4" xfId="0" applyFont="1" applyFill="1" applyBorder="1">
      <alignment vertical="center"/>
    </xf>
    <xf numFmtId="0" fontId="19" fillId="6" borderId="3" xfId="0" applyFont="1" applyFill="1" applyBorder="1" applyAlignment="1">
      <alignment horizontal="left" vertical="center"/>
    </xf>
    <xf numFmtId="0" fontId="19" fillId="6" borderId="4" xfId="0" applyFont="1" applyFill="1" applyBorder="1">
      <alignment vertical="center"/>
    </xf>
    <xf numFmtId="0" fontId="19" fillId="6" borderId="0" xfId="0" applyFont="1" applyFill="1">
      <alignment vertical="center"/>
    </xf>
    <xf numFmtId="0" fontId="13" fillId="0" borderId="3" xfId="0" applyFont="1" applyBorder="1" applyAlignment="1">
      <alignment horizontal="left" vertical="center"/>
    </xf>
    <xf numFmtId="0" fontId="13" fillId="0" borderId="4" xfId="0" applyFont="1" applyBorder="1">
      <alignment vertical="center"/>
    </xf>
    <xf numFmtId="41" fontId="13" fillId="0" borderId="0" xfId="2" applyFont="1" applyFill="1" applyBorder="1">
      <alignment vertical="center"/>
    </xf>
    <xf numFmtId="0" fontId="19" fillId="8" borderId="6" xfId="0" applyFont="1" applyFill="1" applyBorder="1" applyAlignment="1">
      <alignment horizontal="left" vertical="center"/>
    </xf>
    <xf numFmtId="0" fontId="19" fillId="8" borderId="7" xfId="0" applyFont="1" applyFill="1" applyBorder="1">
      <alignment vertical="center"/>
    </xf>
    <xf numFmtId="0" fontId="13" fillId="0" borderId="0" xfId="0" applyFont="1" applyAlignment="1">
      <alignment horizontal="left" vertical="center"/>
    </xf>
    <xf numFmtId="178" fontId="13" fillId="0" borderId="0" xfId="0" applyNumberFormat="1" applyFont="1">
      <alignment vertical="center"/>
    </xf>
    <xf numFmtId="178" fontId="13" fillId="0" borderId="0" xfId="0" applyNumberFormat="1" applyFont="1" applyAlignment="1">
      <alignment horizontal="left" vertical="center"/>
    </xf>
    <xf numFmtId="0" fontId="19" fillId="0" borderId="0" xfId="0" applyFont="1" applyAlignment="1">
      <alignment horizontal="left" vertical="center"/>
    </xf>
    <xf numFmtId="0" fontId="19" fillId="0" borderId="0" xfId="0" applyFont="1" applyAlignment="1">
      <alignment horizontal="center" vertical="center"/>
    </xf>
    <xf numFmtId="0" fontId="21" fillId="0" borderId="0" xfId="0" applyFont="1">
      <alignment vertical="center"/>
    </xf>
    <xf numFmtId="0" fontId="20" fillId="0" borderId="0" xfId="0" applyFont="1" applyAlignment="1">
      <alignment horizontal="left" vertical="center"/>
    </xf>
    <xf numFmtId="0" fontId="20" fillId="0" borderId="0" xfId="0" applyFont="1" applyAlignment="1">
      <alignment horizontal="center" vertical="center"/>
    </xf>
    <xf numFmtId="0" fontId="20" fillId="0" borderId="0" xfId="0" applyFont="1">
      <alignment vertical="center"/>
    </xf>
    <xf numFmtId="0" fontId="14" fillId="7" borderId="74" xfId="0" applyFont="1" applyFill="1" applyBorder="1" applyAlignment="1">
      <alignment horizontal="center" vertical="center"/>
    </xf>
    <xf numFmtId="176" fontId="19" fillId="2" borderId="47" xfId="2" applyNumberFormat="1" applyFont="1" applyFill="1" applyBorder="1" applyAlignment="1">
      <alignment horizontal="center" vertical="center"/>
    </xf>
    <xf numFmtId="176" fontId="19" fillId="2" borderId="75" xfId="2" applyNumberFormat="1" applyFont="1" applyFill="1" applyBorder="1" applyAlignment="1">
      <alignment horizontal="center" vertical="center"/>
    </xf>
    <xf numFmtId="176" fontId="20" fillId="0" borderId="0" xfId="2" applyNumberFormat="1" applyFont="1" applyFill="1" applyBorder="1">
      <alignment vertical="center"/>
    </xf>
    <xf numFmtId="176" fontId="19" fillId="0" borderId="0" xfId="2" applyNumberFormat="1" applyFont="1" applyFill="1" applyBorder="1">
      <alignment vertical="center"/>
    </xf>
    <xf numFmtId="181" fontId="21" fillId="0" borderId="0" xfId="1" applyNumberFormat="1" applyFont="1" applyFill="1" applyBorder="1">
      <alignment vertical="center"/>
    </xf>
    <xf numFmtId="9" fontId="22" fillId="0" borderId="0" xfId="1" applyFont="1" applyFill="1" applyBorder="1" applyAlignment="1">
      <alignment horizontal="right" vertical="center"/>
    </xf>
    <xf numFmtId="176" fontId="21" fillId="0" borderId="47" xfId="2" applyNumberFormat="1" applyFont="1" applyFill="1" applyBorder="1" applyAlignment="1">
      <alignment horizontal="center" vertical="center"/>
    </xf>
    <xf numFmtId="176" fontId="21" fillId="0" borderId="75" xfId="2" applyNumberFormat="1" applyFont="1" applyFill="1" applyBorder="1" applyAlignment="1">
      <alignment horizontal="center" vertical="center"/>
    </xf>
    <xf numFmtId="9" fontId="21" fillId="0" borderId="0" xfId="1" applyFont="1" applyFill="1" applyBorder="1" applyAlignment="1">
      <alignment horizontal="right" vertical="center"/>
    </xf>
    <xf numFmtId="176" fontId="21" fillId="0" borderId="0" xfId="2" applyNumberFormat="1" applyFont="1" applyFill="1" applyBorder="1" applyAlignment="1">
      <alignment horizontal="right" vertical="center"/>
    </xf>
    <xf numFmtId="181" fontId="20" fillId="0" borderId="0" xfId="1" applyNumberFormat="1" applyFont="1" applyFill="1" applyBorder="1">
      <alignment vertical="center"/>
    </xf>
    <xf numFmtId="176" fontId="21" fillId="0" borderId="0" xfId="2" applyNumberFormat="1" applyFont="1" applyFill="1" applyBorder="1">
      <alignment vertical="center"/>
    </xf>
    <xf numFmtId="176" fontId="23" fillId="0" borderId="47" xfId="2" applyNumberFormat="1" applyFont="1" applyFill="1" applyBorder="1" applyAlignment="1">
      <alignment horizontal="center" vertical="center"/>
    </xf>
    <xf numFmtId="176" fontId="23" fillId="0" borderId="75" xfId="2" applyNumberFormat="1" applyFont="1" applyFill="1" applyBorder="1" applyAlignment="1">
      <alignment horizontal="center" vertical="center"/>
    </xf>
    <xf numFmtId="0" fontId="19" fillId="2" borderId="47" xfId="0" applyFont="1" applyFill="1" applyBorder="1" applyAlignment="1">
      <alignment horizontal="center" vertical="center"/>
    </xf>
    <xf numFmtId="0" fontId="19" fillId="2" borderId="75" xfId="0" applyFont="1" applyFill="1" applyBorder="1" applyAlignment="1">
      <alignment horizontal="center" vertical="center"/>
    </xf>
    <xf numFmtId="176" fontId="20" fillId="0" borderId="0" xfId="2" applyNumberFormat="1" applyFont="1" applyFill="1" applyBorder="1" applyAlignment="1">
      <alignment horizontal="right" vertical="center"/>
    </xf>
    <xf numFmtId="176" fontId="19" fillId="0" borderId="0" xfId="2" applyNumberFormat="1" applyFont="1" applyFill="1" applyBorder="1" applyAlignment="1">
      <alignment horizontal="right" vertical="center"/>
    </xf>
    <xf numFmtId="181" fontId="20" fillId="0" borderId="0" xfId="2" applyNumberFormat="1" applyFont="1" applyFill="1" applyBorder="1" applyAlignment="1">
      <alignment horizontal="right" vertical="center"/>
    </xf>
    <xf numFmtId="181" fontId="19" fillId="0" borderId="0" xfId="2" applyNumberFormat="1" applyFont="1" applyFill="1" applyBorder="1" applyAlignment="1">
      <alignment horizontal="right" vertical="center"/>
    </xf>
    <xf numFmtId="181" fontId="22" fillId="0" borderId="0" xfId="1" applyNumberFormat="1" applyFont="1" applyFill="1" applyBorder="1" applyAlignment="1">
      <alignment horizontal="right" vertical="center"/>
    </xf>
    <xf numFmtId="181" fontId="19" fillId="0" borderId="0" xfId="0" applyNumberFormat="1" applyFont="1">
      <alignment vertical="center"/>
    </xf>
    <xf numFmtId="9" fontId="21" fillId="0" borderId="47" xfId="1" applyFont="1" applyFill="1" applyBorder="1" applyAlignment="1">
      <alignment horizontal="center" vertical="center"/>
    </xf>
    <xf numFmtId="9" fontId="21" fillId="0" borderId="75" xfId="1" applyFont="1" applyFill="1" applyBorder="1" applyAlignment="1">
      <alignment horizontal="center" vertical="center"/>
    </xf>
    <xf numFmtId="9" fontId="21" fillId="0" borderId="0" xfId="1" applyFont="1" applyFill="1" applyBorder="1">
      <alignment vertical="center"/>
    </xf>
    <xf numFmtId="176" fontId="13" fillId="0" borderId="47" xfId="2" applyNumberFormat="1" applyFont="1" applyFill="1" applyBorder="1" applyAlignment="1">
      <alignment horizontal="center" vertical="center"/>
    </xf>
    <xf numFmtId="176" fontId="13" fillId="0" borderId="75" xfId="2" applyNumberFormat="1" applyFont="1" applyFill="1" applyBorder="1" applyAlignment="1">
      <alignment horizontal="center" vertical="center"/>
    </xf>
    <xf numFmtId="176" fontId="13" fillId="0" borderId="0" xfId="2" applyNumberFormat="1" applyFont="1" applyFill="1" applyBorder="1">
      <alignment vertical="center"/>
    </xf>
    <xf numFmtId="176" fontId="13" fillId="0" borderId="0" xfId="2" applyNumberFormat="1" applyFont="1" applyFill="1" applyBorder="1" applyAlignment="1">
      <alignment horizontal="center" vertical="center"/>
    </xf>
    <xf numFmtId="0" fontId="19" fillId="0" borderId="65" xfId="0" applyFont="1" applyBorder="1" applyAlignment="1">
      <alignment horizontal="center" vertical="center" wrapText="1"/>
    </xf>
    <xf numFmtId="0" fontId="19" fillId="0" borderId="75" xfId="0" applyFont="1" applyBorder="1" applyAlignment="1">
      <alignment horizontal="center" vertical="center" wrapText="1"/>
    </xf>
    <xf numFmtId="180" fontId="19" fillId="0" borderId="66" xfId="0" applyNumberFormat="1" applyFont="1" applyBorder="1" applyAlignment="1">
      <alignment horizontal="right" vertical="center" wrapText="1"/>
    </xf>
    <xf numFmtId="180" fontId="19" fillId="0" borderId="50" xfId="0" applyNumberFormat="1" applyFont="1" applyBorder="1" applyAlignment="1">
      <alignment horizontal="right" vertical="center" wrapText="1"/>
    </xf>
    <xf numFmtId="180" fontId="19" fillId="0" borderId="59" xfId="0" applyNumberFormat="1" applyFont="1" applyBorder="1" applyAlignment="1">
      <alignment horizontal="right" vertical="center" wrapText="1"/>
    </xf>
    <xf numFmtId="180" fontId="19" fillId="0" borderId="58" xfId="0" applyNumberFormat="1" applyFont="1" applyBorder="1" applyAlignment="1">
      <alignment horizontal="right" vertical="center" wrapText="1"/>
    </xf>
    <xf numFmtId="180" fontId="19" fillId="0" borderId="0" xfId="0" applyNumberFormat="1" applyFont="1" applyAlignment="1">
      <alignment horizontal="right" vertical="center" wrapText="1"/>
    </xf>
    <xf numFmtId="0" fontId="26" fillId="2" borderId="65" xfId="0" applyFont="1" applyFill="1" applyBorder="1" applyAlignment="1">
      <alignment horizontal="center" vertical="center"/>
    </xf>
    <xf numFmtId="0" fontId="26" fillId="2" borderId="75" xfId="0" applyFont="1" applyFill="1" applyBorder="1" applyAlignment="1">
      <alignment horizontal="center" vertical="center"/>
    </xf>
    <xf numFmtId="177" fontId="21" fillId="0" borderId="0" xfId="0" applyNumberFormat="1" applyFont="1">
      <alignment vertical="center"/>
    </xf>
    <xf numFmtId="177" fontId="26" fillId="0" borderId="0" xfId="0" applyNumberFormat="1" applyFont="1">
      <alignment vertical="center"/>
    </xf>
    <xf numFmtId="9" fontId="26" fillId="0" borderId="0" xfId="1" applyFont="1" applyFill="1" applyBorder="1">
      <alignment vertical="center"/>
    </xf>
    <xf numFmtId="9" fontId="18" fillId="0" borderId="0" xfId="1" applyFont="1" applyFill="1" applyBorder="1" applyAlignment="1">
      <alignment horizontal="right" vertical="center"/>
    </xf>
    <xf numFmtId="0" fontId="26" fillId="0" borderId="0" xfId="0" applyFont="1">
      <alignment vertical="center"/>
    </xf>
    <xf numFmtId="176" fontId="19" fillId="11" borderId="65" xfId="2" applyNumberFormat="1" applyFont="1" applyFill="1" applyBorder="1" applyAlignment="1">
      <alignment horizontal="center" vertical="center"/>
    </xf>
    <xf numFmtId="176" fontId="19" fillId="11" borderId="75" xfId="2" applyNumberFormat="1" applyFont="1" applyFill="1" applyBorder="1" applyAlignment="1">
      <alignment horizontal="center" vertical="center"/>
    </xf>
    <xf numFmtId="177" fontId="13" fillId="0" borderId="0" xfId="0" applyNumberFormat="1" applyFont="1">
      <alignment vertical="center"/>
    </xf>
    <xf numFmtId="181" fontId="13" fillId="0" borderId="0" xfId="1" applyNumberFormat="1" applyFont="1" applyFill="1" applyBorder="1">
      <alignment vertical="center"/>
    </xf>
    <xf numFmtId="0" fontId="21" fillId="0" borderId="0" xfId="0" applyFont="1" applyAlignment="1">
      <alignment horizontal="center" vertical="center"/>
    </xf>
    <xf numFmtId="9" fontId="21" fillId="0" borderId="0" xfId="1" applyFont="1" applyFill="1" applyBorder="1" applyAlignment="1">
      <alignment horizontal="left" vertical="center"/>
    </xf>
    <xf numFmtId="181" fontId="19" fillId="0" borderId="66" xfId="1" applyNumberFormat="1" applyFont="1" applyFill="1" applyBorder="1" applyAlignment="1">
      <alignment horizontal="right" vertical="center" wrapText="1"/>
    </xf>
    <xf numFmtId="181" fontId="19" fillId="0" borderId="50" xfId="1" applyNumberFormat="1" applyFont="1" applyFill="1" applyBorder="1" applyAlignment="1">
      <alignment horizontal="right" vertical="center" wrapText="1"/>
    </xf>
    <xf numFmtId="181" fontId="19" fillId="0" borderId="59" xfId="1" applyNumberFormat="1" applyFont="1" applyFill="1" applyBorder="1" applyAlignment="1">
      <alignment horizontal="right" vertical="center" wrapText="1"/>
    </xf>
    <xf numFmtId="181" fontId="19" fillId="0" borderId="58" xfId="1" applyNumberFormat="1" applyFont="1" applyFill="1" applyBorder="1" applyAlignment="1">
      <alignment horizontal="right" vertical="center" wrapText="1"/>
    </xf>
    <xf numFmtId="0" fontId="26" fillId="2" borderId="0" xfId="0" applyFont="1" applyFill="1">
      <alignment vertical="center"/>
    </xf>
    <xf numFmtId="0" fontId="13" fillId="2" borderId="0" xfId="0" applyFont="1" applyFill="1">
      <alignment vertical="center"/>
    </xf>
    <xf numFmtId="0" fontId="13" fillId="0" borderId="0" xfId="0" applyFont="1" applyAlignment="1">
      <alignment horizontal="center" vertical="center"/>
    </xf>
    <xf numFmtId="178" fontId="4" fillId="0" borderId="0" xfId="2" applyNumberFormat="1" applyFont="1" applyBorder="1">
      <alignment vertical="center"/>
    </xf>
    <xf numFmtId="0" fontId="12" fillId="7" borderId="5" xfId="0" applyFont="1" applyFill="1" applyBorder="1" applyAlignment="1">
      <alignment horizontal="left" vertical="center"/>
    </xf>
    <xf numFmtId="0" fontId="12" fillId="7" borderId="49" xfId="0" applyFont="1" applyFill="1" applyBorder="1" applyAlignment="1">
      <alignment horizontal="left" vertical="center"/>
    </xf>
    <xf numFmtId="0" fontId="2" fillId="3" borderId="3" xfId="0" applyFont="1" applyFill="1" applyBorder="1">
      <alignment vertical="center"/>
    </xf>
    <xf numFmtId="0" fontId="2" fillId="3" borderId="4" xfId="0" applyFont="1" applyFill="1" applyBorder="1" applyAlignment="1">
      <alignment horizontal="left" vertical="center"/>
    </xf>
    <xf numFmtId="0" fontId="2" fillId="3" borderId="3" xfId="0" applyFont="1" applyFill="1" applyBorder="1" applyAlignment="1">
      <alignment horizontal="left" vertical="center"/>
    </xf>
    <xf numFmtId="0" fontId="5" fillId="2" borderId="3" xfId="0" applyFont="1" applyFill="1" applyBorder="1">
      <alignment vertical="center"/>
    </xf>
    <xf numFmtId="0" fontId="5" fillId="2" borderId="4" xfId="0" applyFont="1" applyFill="1" applyBorder="1">
      <alignment vertical="center"/>
    </xf>
    <xf numFmtId="0" fontId="6" fillId="0" borderId="3" xfId="0" applyFont="1" applyBorder="1">
      <alignment vertical="center"/>
    </xf>
    <xf numFmtId="0" fontId="6" fillId="0" borderId="4" xfId="0" applyFont="1" applyBorder="1">
      <alignment vertical="center"/>
    </xf>
    <xf numFmtId="180" fontId="13" fillId="0" borderId="0" xfId="0" applyNumberFormat="1" applyFont="1">
      <alignment vertical="center"/>
    </xf>
    <xf numFmtId="180" fontId="20" fillId="0" borderId="0" xfId="0" applyNumberFormat="1" applyFont="1">
      <alignment vertical="center"/>
    </xf>
    <xf numFmtId="180" fontId="19" fillId="0" borderId="0" xfId="2" applyNumberFormat="1" applyFont="1" applyFill="1" applyBorder="1" applyAlignment="1">
      <alignment horizontal="center" vertical="center"/>
    </xf>
    <xf numFmtId="180" fontId="21" fillId="0" borderId="0" xfId="2" applyNumberFormat="1" applyFont="1" applyFill="1" applyBorder="1" applyAlignment="1">
      <alignment horizontal="center" vertical="center"/>
    </xf>
    <xf numFmtId="181" fontId="23" fillId="0" borderId="0" xfId="1" applyNumberFormat="1" applyFont="1" applyFill="1" applyBorder="1" applyAlignment="1">
      <alignment horizontal="center" vertical="center"/>
    </xf>
    <xf numFmtId="180" fontId="19" fillId="0" borderId="0" xfId="0" applyNumberFormat="1" applyFont="1" applyAlignment="1">
      <alignment horizontal="center" vertical="center"/>
    </xf>
    <xf numFmtId="181" fontId="24" fillId="0" borderId="0" xfId="1" applyNumberFormat="1" applyFont="1" applyFill="1" applyBorder="1" applyAlignment="1">
      <alignment horizontal="right" vertical="center"/>
    </xf>
    <xf numFmtId="181" fontId="24" fillId="0" borderId="0" xfId="1" applyNumberFormat="1" applyFont="1" applyFill="1" applyBorder="1" applyAlignment="1">
      <alignment horizontal="center" vertical="center"/>
    </xf>
    <xf numFmtId="180" fontId="21" fillId="0" borderId="0" xfId="1" applyNumberFormat="1" applyFont="1" applyFill="1" applyBorder="1" applyAlignment="1">
      <alignment horizontal="center" vertical="center"/>
    </xf>
    <xf numFmtId="180" fontId="13" fillId="0" borderId="0" xfId="2" applyNumberFormat="1" applyFont="1" applyFill="1" applyBorder="1" applyAlignment="1">
      <alignment horizontal="center" vertical="center"/>
    </xf>
    <xf numFmtId="180" fontId="19" fillId="0" borderId="0" xfId="0" applyNumberFormat="1" applyFont="1" applyAlignment="1">
      <alignment horizontal="left" vertical="center"/>
    </xf>
    <xf numFmtId="180" fontId="19" fillId="0" borderId="80" xfId="0" applyNumberFormat="1" applyFont="1" applyBorder="1" applyAlignment="1">
      <alignment horizontal="right" vertical="center" wrapText="1"/>
    </xf>
    <xf numFmtId="180" fontId="19" fillId="0" borderId="0" xfId="0" applyNumberFormat="1" applyFont="1" applyAlignment="1">
      <alignment horizontal="center" vertical="center" wrapText="1"/>
    </xf>
    <xf numFmtId="180" fontId="26" fillId="0" borderId="0" xfId="0" applyNumberFormat="1" applyFont="1" applyAlignment="1">
      <alignment horizontal="center" vertical="center"/>
    </xf>
    <xf numFmtId="180" fontId="21" fillId="0" borderId="0" xfId="0" applyNumberFormat="1" applyFont="1" applyAlignment="1">
      <alignment horizontal="center" vertical="center"/>
    </xf>
    <xf numFmtId="180" fontId="13" fillId="0" borderId="0" xfId="0" applyNumberFormat="1" applyFont="1" applyAlignment="1">
      <alignment horizontal="left" vertical="center"/>
    </xf>
    <xf numFmtId="181" fontId="19" fillId="0" borderId="80" xfId="1" applyNumberFormat="1" applyFont="1" applyFill="1" applyBorder="1" applyAlignment="1">
      <alignment horizontal="right" vertical="center" wrapText="1"/>
    </xf>
    <xf numFmtId="181" fontId="19" fillId="0" borderId="0" xfId="1" applyNumberFormat="1" applyFont="1" applyFill="1" applyBorder="1" applyAlignment="1">
      <alignment horizontal="center" vertical="center" wrapText="1"/>
    </xf>
    <xf numFmtId="181" fontId="26" fillId="0" borderId="0" xfId="1" applyNumberFormat="1" applyFont="1" applyFill="1" applyBorder="1" applyAlignment="1">
      <alignment horizontal="center" vertical="center"/>
    </xf>
    <xf numFmtId="41" fontId="19" fillId="0" borderId="0" xfId="2" applyFont="1" applyFill="1" applyBorder="1" applyAlignment="1">
      <alignment horizontal="right" vertical="center"/>
    </xf>
    <xf numFmtId="41" fontId="13" fillId="0" borderId="0" xfId="2" applyFont="1" applyFill="1" applyBorder="1" applyAlignment="1">
      <alignment horizontal="right" vertical="center"/>
    </xf>
    <xf numFmtId="41" fontId="21" fillId="0" borderId="0" xfId="2" applyFont="1" applyFill="1" applyBorder="1" applyAlignment="1">
      <alignment horizontal="right" vertical="center"/>
    </xf>
    <xf numFmtId="178" fontId="13" fillId="0" borderId="0" xfId="2" applyNumberFormat="1" applyFont="1" applyFill="1" applyBorder="1" applyAlignment="1">
      <alignment horizontal="right" vertical="center"/>
    </xf>
    <xf numFmtId="179" fontId="13" fillId="0" borderId="0" xfId="0" applyNumberFormat="1" applyFont="1">
      <alignment vertical="center"/>
    </xf>
    <xf numFmtId="0" fontId="19" fillId="7" borderId="0" xfId="0" applyFont="1" applyFill="1">
      <alignment vertical="center"/>
    </xf>
    <xf numFmtId="179" fontId="28" fillId="0" borderId="0" xfId="0" applyNumberFormat="1" applyFont="1">
      <alignment vertical="center"/>
    </xf>
    <xf numFmtId="0" fontId="15" fillId="12" borderId="8" xfId="0" applyFont="1" applyFill="1" applyBorder="1" applyAlignment="1">
      <alignment horizontal="center" vertical="center" readingOrder="1"/>
    </xf>
    <xf numFmtId="9" fontId="13" fillId="0" borderId="0" xfId="1" applyFont="1">
      <alignment vertical="center"/>
    </xf>
    <xf numFmtId="9" fontId="26" fillId="0" borderId="83" xfId="1" applyFont="1" applyBorder="1" applyAlignment="1">
      <alignment horizontal="center" vertical="center"/>
    </xf>
    <xf numFmtId="9" fontId="26" fillId="0" borderId="86" xfId="1" applyFont="1" applyBorder="1" applyAlignment="1">
      <alignment horizontal="center" vertical="center"/>
    </xf>
    <xf numFmtId="41" fontId="13" fillId="0" borderId="0" xfId="2" applyFont="1" applyFill="1" applyBorder="1" applyAlignment="1">
      <alignment vertical="center" wrapText="1"/>
    </xf>
    <xf numFmtId="41" fontId="19" fillId="6" borderId="0" xfId="2" applyFont="1" applyFill="1" applyBorder="1" applyAlignment="1">
      <alignment vertical="center" wrapText="1"/>
    </xf>
    <xf numFmtId="0" fontId="29" fillId="0" borderId="0" xfId="0" applyFont="1" applyAlignment="1">
      <alignment horizontal="center" vertical="center"/>
    </xf>
    <xf numFmtId="181" fontId="19" fillId="11" borderId="65" xfId="1" applyNumberFormat="1" applyFont="1" applyFill="1" applyBorder="1" applyAlignment="1">
      <alignment horizontal="center" vertical="center"/>
    </xf>
    <xf numFmtId="181" fontId="19" fillId="11" borderId="75" xfId="1" applyNumberFormat="1" applyFont="1" applyFill="1" applyBorder="1" applyAlignment="1">
      <alignment horizontal="center" vertical="center"/>
    </xf>
    <xf numFmtId="181" fontId="19" fillId="0" borderId="0" xfId="1" applyNumberFormat="1" applyFont="1" applyFill="1" applyBorder="1">
      <alignment vertical="center"/>
    </xf>
    <xf numFmtId="9" fontId="16" fillId="0" borderId="0" xfId="1" applyFont="1">
      <alignment vertical="center"/>
    </xf>
    <xf numFmtId="0" fontId="30" fillId="0" borderId="0" xfId="0" applyFont="1">
      <alignment vertical="center"/>
    </xf>
    <xf numFmtId="0" fontId="12" fillId="0" borderId="0" xfId="0" applyFont="1">
      <alignment vertical="center"/>
    </xf>
    <xf numFmtId="176" fontId="30" fillId="0" borderId="0" xfId="2" applyNumberFormat="1" applyFont="1" applyFill="1" applyBorder="1">
      <alignment vertical="center"/>
    </xf>
    <xf numFmtId="0" fontId="12" fillId="0" borderId="0" xfId="0" applyFont="1" applyAlignment="1">
      <alignment horizontal="center" vertical="center"/>
    </xf>
    <xf numFmtId="0" fontId="30" fillId="2" borderId="0" xfId="0" applyFont="1" applyFill="1">
      <alignment vertical="center"/>
    </xf>
    <xf numFmtId="181" fontId="12" fillId="0" borderId="0" xfId="1" applyNumberFormat="1" applyFont="1" applyFill="1" applyBorder="1">
      <alignment vertical="center"/>
    </xf>
    <xf numFmtId="9" fontId="30" fillId="0" borderId="0" xfId="1" applyFont="1">
      <alignment vertical="center"/>
    </xf>
    <xf numFmtId="0" fontId="31" fillId="0" borderId="0" xfId="0" applyFont="1">
      <alignment vertical="center"/>
    </xf>
    <xf numFmtId="0" fontId="32" fillId="9" borderId="8" xfId="0" applyFont="1" applyFill="1" applyBorder="1" applyAlignment="1">
      <alignment horizontal="center" vertical="center" wrapText="1" readingOrder="1"/>
    </xf>
    <xf numFmtId="0" fontId="10" fillId="0" borderId="24" xfId="0" applyFont="1" applyBorder="1" applyAlignment="1">
      <alignment horizontal="left" vertical="center" readingOrder="1"/>
    </xf>
    <xf numFmtId="0" fontId="10" fillId="0" borderId="25" xfId="0" applyFont="1" applyBorder="1" applyAlignment="1">
      <alignment horizontal="left" vertical="center" readingOrder="1"/>
    </xf>
    <xf numFmtId="0" fontId="17" fillId="0" borderId="22" xfId="0" applyFont="1" applyBorder="1">
      <alignment vertical="center"/>
    </xf>
    <xf numFmtId="0" fontId="34" fillId="0" borderId="27" xfId="0" applyFont="1" applyBorder="1">
      <alignment vertical="center"/>
    </xf>
    <xf numFmtId="0" fontId="35" fillId="0" borderId="28" xfId="0" applyFont="1" applyBorder="1" applyAlignment="1">
      <alignment horizontal="left" vertical="center" readingOrder="1"/>
    </xf>
    <xf numFmtId="0" fontId="34" fillId="0" borderId="30" xfId="0" applyFont="1" applyBorder="1">
      <alignment vertical="center"/>
    </xf>
    <xf numFmtId="0" fontId="35" fillId="0" borderId="31" xfId="0" applyFont="1" applyBorder="1" applyAlignment="1">
      <alignment horizontal="left" vertical="center" readingOrder="1"/>
    </xf>
    <xf numFmtId="0" fontId="17" fillId="0" borderId="23" xfId="0" applyFont="1" applyBorder="1">
      <alignment vertical="center"/>
    </xf>
    <xf numFmtId="0" fontId="35" fillId="0" borderId="33" xfId="0" applyFont="1" applyBorder="1" applyAlignment="1">
      <alignment horizontal="left" vertical="center" readingOrder="1"/>
    </xf>
    <xf numFmtId="0" fontId="17" fillId="0" borderId="16" xfId="0" applyFont="1" applyBorder="1">
      <alignment vertical="center"/>
    </xf>
    <xf numFmtId="0" fontId="35" fillId="0" borderId="92" xfId="0" applyFont="1" applyBorder="1" applyAlignment="1">
      <alignment horizontal="left" vertical="center" readingOrder="1"/>
    </xf>
    <xf numFmtId="0" fontId="17" fillId="0" borderId="35" xfId="0" applyFont="1" applyBorder="1">
      <alignment vertical="center"/>
    </xf>
    <xf numFmtId="0" fontId="10" fillId="0" borderId="36" xfId="0" applyFont="1" applyBorder="1" applyAlignment="1">
      <alignment horizontal="left" vertical="center" readingOrder="1"/>
    </xf>
    <xf numFmtId="0" fontId="10" fillId="0" borderId="38" xfId="0" applyFont="1" applyBorder="1" applyAlignment="1">
      <alignment horizontal="left" vertical="center" readingOrder="1"/>
    </xf>
    <xf numFmtId="0" fontId="15" fillId="12" borderId="8" xfId="0" applyFont="1" applyFill="1" applyBorder="1" applyAlignment="1">
      <alignment horizontal="left" vertical="center" readingOrder="1"/>
    </xf>
    <xf numFmtId="0" fontId="37" fillId="0" borderId="0" xfId="0" applyFont="1">
      <alignment vertical="center"/>
    </xf>
    <xf numFmtId="0" fontId="14" fillId="7" borderId="47" xfId="0" applyFont="1" applyFill="1" applyBorder="1" applyAlignment="1">
      <alignment horizontal="center" vertical="center"/>
    </xf>
    <xf numFmtId="0" fontId="14" fillId="7" borderId="75" xfId="0" applyFont="1" applyFill="1" applyBorder="1" applyAlignment="1">
      <alignment horizontal="center" vertical="center"/>
    </xf>
    <xf numFmtId="181" fontId="38" fillId="2" borderId="47" xfId="1" applyNumberFormat="1" applyFont="1" applyFill="1" applyBorder="1" applyAlignment="1">
      <alignment horizontal="center" vertical="center"/>
    </xf>
    <xf numFmtId="181" fontId="38" fillId="2" borderId="75" xfId="1" applyNumberFormat="1" applyFont="1" applyFill="1" applyBorder="1" applyAlignment="1">
      <alignment horizontal="center" vertical="center"/>
    </xf>
    <xf numFmtId="181" fontId="4" fillId="0" borderId="0" xfId="0" applyNumberFormat="1" applyFont="1">
      <alignment vertical="center"/>
    </xf>
    <xf numFmtId="176" fontId="4" fillId="0" borderId="0" xfId="2" applyNumberFormat="1" applyFont="1" applyFill="1" applyBorder="1">
      <alignment vertical="center"/>
    </xf>
    <xf numFmtId="181" fontId="38" fillId="2" borderId="48" xfId="1" applyNumberFormat="1" applyFont="1" applyFill="1" applyBorder="1" applyAlignment="1">
      <alignment horizontal="center" vertical="center"/>
    </xf>
    <xf numFmtId="181" fontId="38" fillId="2" borderId="76" xfId="1" applyNumberFormat="1" applyFont="1" applyFill="1" applyBorder="1" applyAlignment="1">
      <alignment horizontal="center" vertical="center"/>
    </xf>
    <xf numFmtId="180" fontId="13" fillId="0" borderId="0" xfId="0" applyNumberFormat="1" applyFont="1" applyAlignment="1">
      <alignment horizontal="right" vertical="center" wrapText="1"/>
    </xf>
    <xf numFmtId="0" fontId="13" fillId="0" borderId="0" xfId="0" applyFont="1" applyAlignment="1">
      <alignment horizontal="right" vertical="center" wrapText="1"/>
    </xf>
    <xf numFmtId="49" fontId="12" fillId="0" borderId="0" xfId="0" applyNumberFormat="1" applyFont="1" applyAlignment="1">
      <alignment horizontal="centerContinuous" vertical="center" wrapText="1"/>
    </xf>
    <xf numFmtId="180" fontId="14" fillId="7" borderId="3" xfId="0" applyNumberFormat="1" applyFont="1" applyFill="1" applyBorder="1" applyAlignment="1">
      <alignment horizontal="center" vertical="center" wrapText="1"/>
    </xf>
    <xf numFmtId="180" fontId="14" fillId="7" borderId="0" xfId="0" applyNumberFormat="1" applyFont="1" applyFill="1" applyAlignment="1">
      <alignment horizontal="center" vertical="center" wrapText="1"/>
    </xf>
    <xf numFmtId="180" fontId="14" fillId="7" borderId="58" xfId="0" applyNumberFormat="1" applyFont="1" applyFill="1" applyBorder="1" applyAlignment="1">
      <alignment horizontal="center" vertical="center" wrapText="1"/>
    </xf>
    <xf numFmtId="0" fontId="14" fillId="7" borderId="0" xfId="0" applyFont="1" applyFill="1" applyAlignment="1">
      <alignment horizontal="center" vertical="center" wrapText="1"/>
    </xf>
    <xf numFmtId="0" fontId="14" fillId="7" borderId="59" xfId="0" applyFont="1" applyFill="1" applyBorder="1" applyAlignment="1">
      <alignment horizontal="center" vertical="center" wrapText="1"/>
    </xf>
    <xf numFmtId="180" fontId="19" fillId="2" borderId="51" xfId="2" applyNumberFormat="1" applyFont="1" applyFill="1" applyBorder="1" applyAlignment="1">
      <alignment horizontal="right" vertical="center" wrapText="1"/>
    </xf>
    <xf numFmtId="180" fontId="19" fillId="2" borderId="54" xfId="2" applyNumberFormat="1" applyFont="1" applyFill="1" applyBorder="1" applyAlignment="1">
      <alignment horizontal="right" vertical="center" wrapText="1"/>
    </xf>
    <xf numFmtId="180" fontId="19" fillId="2" borderId="0" xfId="2" applyNumberFormat="1" applyFont="1" applyFill="1" applyBorder="1" applyAlignment="1">
      <alignment horizontal="right" vertical="center" wrapText="1"/>
    </xf>
    <xf numFmtId="180" fontId="19" fillId="2" borderId="58" xfId="2" applyNumberFormat="1" applyFont="1" applyFill="1" applyBorder="1" applyAlignment="1">
      <alignment horizontal="right" vertical="center" wrapText="1"/>
    </xf>
    <xf numFmtId="9" fontId="22" fillId="2" borderId="0" xfId="1" applyFont="1" applyFill="1" applyBorder="1" applyAlignment="1">
      <alignment horizontal="right" vertical="center" wrapText="1"/>
    </xf>
    <xf numFmtId="9" fontId="22" fillId="2" borderId="54" xfId="1" applyFont="1" applyFill="1" applyBorder="1" applyAlignment="1">
      <alignment horizontal="right" vertical="center" wrapText="1"/>
    </xf>
    <xf numFmtId="9" fontId="22" fillId="2" borderId="59" xfId="1" applyFont="1" applyFill="1" applyBorder="1" applyAlignment="1">
      <alignment horizontal="right" vertical="center" wrapText="1"/>
    </xf>
    <xf numFmtId="184" fontId="21" fillId="0" borderId="51" xfId="2" applyNumberFormat="1" applyFont="1" applyFill="1" applyBorder="1" applyAlignment="1">
      <alignment horizontal="right" vertical="center" wrapText="1"/>
    </xf>
    <xf numFmtId="184" fontId="21" fillId="0" borderId="54" xfId="2" applyNumberFormat="1" applyFont="1" applyFill="1" applyBorder="1" applyAlignment="1">
      <alignment horizontal="right" vertical="center" wrapText="1"/>
    </xf>
    <xf numFmtId="184" fontId="21" fillId="0" borderId="0" xfId="2" applyNumberFormat="1" applyFont="1" applyFill="1" applyBorder="1" applyAlignment="1">
      <alignment horizontal="right" vertical="center" wrapText="1"/>
    </xf>
    <xf numFmtId="184" fontId="21" fillId="0" borderId="58" xfId="2" applyNumberFormat="1" applyFont="1" applyFill="1" applyBorder="1" applyAlignment="1">
      <alignment horizontal="right" vertical="center" wrapText="1"/>
    </xf>
    <xf numFmtId="9" fontId="21" fillId="0" borderId="0" xfId="1" applyFont="1" applyFill="1" applyBorder="1" applyAlignment="1">
      <alignment horizontal="right" vertical="center" wrapText="1"/>
    </xf>
    <xf numFmtId="9" fontId="21" fillId="0" borderId="54" xfId="1" applyFont="1" applyFill="1" applyBorder="1" applyAlignment="1">
      <alignment horizontal="right" vertical="center" wrapText="1"/>
    </xf>
    <xf numFmtId="9" fontId="21" fillId="0" borderId="59" xfId="1" applyFont="1" applyFill="1" applyBorder="1" applyAlignment="1">
      <alignment horizontal="right" vertical="center" wrapText="1"/>
    </xf>
    <xf numFmtId="181" fontId="23" fillId="0" borderId="51" xfId="1" applyNumberFormat="1" applyFont="1" applyFill="1" applyBorder="1" applyAlignment="1">
      <alignment horizontal="right" vertical="center" wrapText="1"/>
    </xf>
    <xf numFmtId="181" fontId="23" fillId="0" borderId="54" xfId="1" applyNumberFormat="1" applyFont="1" applyFill="1" applyBorder="1" applyAlignment="1">
      <alignment horizontal="right" vertical="center" wrapText="1"/>
    </xf>
    <xf numFmtId="181" fontId="23" fillId="0" borderId="0" xfId="1" applyNumberFormat="1" applyFont="1" applyFill="1" applyBorder="1" applyAlignment="1">
      <alignment horizontal="right" vertical="center" wrapText="1"/>
    </xf>
    <xf numFmtId="181" fontId="23" fillId="0" borderId="58" xfId="1" applyNumberFormat="1" applyFont="1" applyFill="1" applyBorder="1" applyAlignment="1">
      <alignment horizontal="right" vertical="center" wrapText="1"/>
    </xf>
    <xf numFmtId="180" fontId="19" fillId="2" borderId="51" xfId="0" applyNumberFormat="1" applyFont="1" applyFill="1" applyBorder="1" applyAlignment="1">
      <alignment horizontal="right" vertical="center" wrapText="1"/>
    </xf>
    <xf numFmtId="180" fontId="19" fillId="2" borderId="54" xfId="0" applyNumberFormat="1" applyFont="1" applyFill="1" applyBorder="1" applyAlignment="1">
      <alignment horizontal="right" vertical="center" wrapText="1"/>
    </xf>
    <xf numFmtId="180" fontId="19" fillId="2" borderId="0" xfId="0" applyNumberFormat="1" applyFont="1" applyFill="1" applyAlignment="1">
      <alignment horizontal="right" vertical="center" wrapText="1"/>
    </xf>
    <xf numFmtId="180" fontId="19" fillId="2" borderId="58" xfId="0" applyNumberFormat="1" applyFont="1" applyFill="1" applyBorder="1" applyAlignment="1">
      <alignment horizontal="right" vertical="center" wrapText="1"/>
    </xf>
    <xf numFmtId="181" fontId="38" fillId="2" borderId="51" xfId="1" applyNumberFormat="1" applyFont="1" applyFill="1" applyBorder="1" applyAlignment="1">
      <alignment horizontal="right" vertical="center" wrapText="1"/>
    </xf>
    <xf numFmtId="181" fontId="38" fillId="2" borderId="54" xfId="1" applyNumberFormat="1" applyFont="1" applyFill="1" applyBorder="1" applyAlignment="1">
      <alignment horizontal="right" vertical="center" wrapText="1"/>
    </xf>
    <xf numFmtId="181" fontId="38" fillId="2" borderId="0" xfId="1" applyNumberFormat="1" applyFont="1" applyFill="1" applyBorder="1" applyAlignment="1">
      <alignment horizontal="right" vertical="center" wrapText="1"/>
    </xf>
    <xf numFmtId="181" fontId="38" fillId="2" borderId="58" xfId="1" applyNumberFormat="1" applyFont="1" applyFill="1" applyBorder="1" applyAlignment="1">
      <alignment horizontal="right" vertical="center" wrapText="1"/>
    </xf>
    <xf numFmtId="181" fontId="38" fillId="2" borderId="59" xfId="1" applyNumberFormat="1" applyFont="1" applyFill="1" applyBorder="1" applyAlignment="1">
      <alignment horizontal="right" vertical="center" wrapText="1"/>
    </xf>
    <xf numFmtId="184" fontId="21" fillId="0" borderId="51" xfId="1" applyNumberFormat="1" applyFont="1" applyFill="1" applyBorder="1" applyAlignment="1">
      <alignment horizontal="right" vertical="center" wrapText="1"/>
    </xf>
    <xf numFmtId="184" fontId="21" fillId="0" borderId="54" xfId="1" applyNumberFormat="1" applyFont="1" applyFill="1" applyBorder="1" applyAlignment="1">
      <alignment horizontal="right" vertical="center" wrapText="1"/>
    </xf>
    <xf numFmtId="184" fontId="21" fillId="0" borderId="0" xfId="1" applyNumberFormat="1" applyFont="1" applyFill="1" applyBorder="1" applyAlignment="1">
      <alignment horizontal="right" vertical="center" wrapText="1"/>
    </xf>
    <xf numFmtId="184" fontId="21" fillId="0" borderId="58" xfId="1" applyNumberFormat="1" applyFont="1" applyFill="1" applyBorder="1" applyAlignment="1">
      <alignment horizontal="right" vertical="center" wrapText="1"/>
    </xf>
    <xf numFmtId="9" fontId="28" fillId="0" borderId="0" xfId="1" applyFont="1" applyFill="1" applyBorder="1" applyAlignment="1">
      <alignment horizontal="right" vertical="center" wrapText="1"/>
    </xf>
    <xf numFmtId="9" fontId="18" fillId="2" borderId="0" xfId="1" applyFont="1" applyFill="1" applyBorder="1" applyAlignment="1">
      <alignment horizontal="right" vertical="center" wrapText="1"/>
    </xf>
    <xf numFmtId="9" fontId="18" fillId="2" borderId="54" xfId="1" applyFont="1" applyFill="1" applyBorder="1" applyAlignment="1">
      <alignment horizontal="right" vertical="center" wrapText="1"/>
    </xf>
    <xf numFmtId="9" fontId="18" fillId="2" borderId="59" xfId="1" applyFont="1" applyFill="1" applyBorder="1" applyAlignment="1">
      <alignment horizontal="right" vertical="center" wrapText="1"/>
    </xf>
    <xf numFmtId="9" fontId="25" fillId="0" borderId="0" xfId="1" applyFont="1" applyFill="1" applyBorder="1" applyAlignment="1">
      <alignment horizontal="right" vertical="center" wrapText="1"/>
    </xf>
    <xf numFmtId="9" fontId="25" fillId="0" borderId="59" xfId="1" applyFont="1" applyFill="1" applyBorder="1" applyAlignment="1">
      <alignment horizontal="right" vertical="center" wrapText="1"/>
    </xf>
    <xf numFmtId="184" fontId="19" fillId="2" borderId="51" xfId="0" applyNumberFormat="1" applyFont="1" applyFill="1" applyBorder="1" applyAlignment="1">
      <alignment horizontal="right" vertical="center" wrapText="1"/>
    </xf>
    <xf numFmtId="184" fontId="19" fillId="2" borderId="54" xfId="0" applyNumberFormat="1" applyFont="1" applyFill="1" applyBorder="1" applyAlignment="1">
      <alignment horizontal="right" vertical="center" wrapText="1"/>
    </xf>
    <xf numFmtId="184" fontId="19" fillId="2" borderId="58" xfId="0" applyNumberFormat="1" applyFont="1" applyFill="1" applyBorder="1" applyAlignment="1">
      <alignment horizontal="right" vertical="center" wrapText="1"/>
    </xf>
    <xf numFmtId="180" fontId="13" fillId="0" borderId="51" xfId="2" applyNumberFormat="1" applyFont="1" applyFill="1" applyBorder="1" applyAlignment="1">
      <alignment horizontal="right" vertical="center" wrapText="1"/>
    </xf>
    <xf numFmtId="180" fontId="13" fillId="0" borderId="54" xfId="2" applyNumberFormat="1" applyFont="1" applyFill="1" applyBorder="1" applyAlignment="1">
      <alignment horizontal="right" vertical="center" wrapText="1"/>
    </xf>
    <xf numFmtId="180" fontId="13" fillId="0" borderId="0" xfId="2" applyNumberFormat="1" applyFont="1" applyFill="1" applyBorder="1" applyAlignment="1">
      <alignment horizontal="right" vertical="center" wrapText="1"/>
    </xf>
    <xf numFmtId="180" fontId="13" fillId="0" borderId="58" xfId="2" applyNumberFormat="1" applyFont="1" applyFill="1" applyBorder="1" applyAlignment="1">
      <alignment horizontal="right" vertical="center" wrapText="1"/>
    </xf>
    <xf numFmtId="9" fontId="13" fillId="0" borderId="0" xfId="1" applyFont="1" applyFill="1" applyBorder="1" applyAlignment="1">
      <alignment horizontal="right" vertical="center" wrapText="1"/>
    </xf>
    <xf numFmtId="9" fontId="13" fillId="0" borderId="54" xfId="1" applyFont="1" applyFill="1" applyBorder="1" applyAlignment="1">
      <alignment horizontal="right" vertical="center" wrapText="1"/>
    </xf>
    <xf numFmtId="181" fontId="38" fillId="2" borderId="52" xfId="1" applyNumberFormat="1" applyFont="1" applyFill="1" applyBorder="1" applyAlignment="1">
      <alignment horizontal="right" vertical="center" wrapText="1"/>
    </xf>
    <xf numFmtId="181" fontId="38" fillId="2" borderId="53" xfId="1" applyNumberFormat="1" applyFont="1" applyFill="1" applyBorder="1" applyAlignment="1">
      <alignment horizontal="right" vertical="center" wrapText="1"/>
    </xf>
    <xf numFmtId="181" fontId="38" fillId="2" borderId="60" xfId="1" applyNumberFormat="1" applyFont="1" applyFill="1" applyBorder="1" applyAlignment="1">
      <alignment horizontal="right" vertical="center" wrapText="1"/>
    </xf>
    <xf numFmtId="181" fontId="38" fillId="2" borderId="61" xfId="1" applyNumberFormat="1" applyFont="1" applyFill="1" applyBorder="1" applyAlignment="1">
      <alignment horizontal="right" vertical="center" wrapText="1"/>
    </xf>
    <xf numFmtId="181" fontId="38" fillId="2" borderId="63" xfId="1" applyNumberFormat="1" applyFont="1" applyFill="1" applyBorder="1" applyAlignment="1">
      <alignment horizontal="right" vertical="center" wrapText="1"/>
    </xf>
    <xf numFmtId="181" fontId="38" fillId="2" borderId="62" xfId="1" applyNumberFormat="1" applyFont="1" applyFill="1" applyBorder="1" applyAlignment="1">
      <alignment horizontal="right" vertical="center" wrapText="1"/>
    </xf>
    <xf numFmtId="176" fontId="13" fillId="0" borderId="0" xfId="2" applyNumberFormat="1" applyFont="1" applyFill="1" applyBorder="1" applyAlignment="1">
      <alignment horizontal="right" vertical="center" wrapText="1"/>
    </xf>
    <xf numFmtId="180" fontId="14" fillId="7" borderId="5" xfId="0" applyNumberFormat="1" applyFont="1" applyFill="1" applyBorder="1" applyAlignment="1">
      <alignment horizontal="center" vertical="center" wrapText="1"/>
    </xf>
    <xf numFmtId="180" fontId="14" fillId="7" borderId="2" xfId="0" applyNumberFormat="1" applyFont="1" applyFill="1" applyBorder="1" applyAlignment="1">
      <alignment horizontal="center" vertical="center" wrapText="1"/>
    </xf>
    <xf numFmtId="180" fontId="14" fillId="7" borderId="55" xfId="0" applyNumberFormat="1" applyFont="1" applyFill="1" applyBorder="1" applyAlignment="1">
      <alignment horizontal="center" vertical="center" wrapText="1"/>
    </xf>
    <xf numFmtId="0" fontId="14" fillId="7" borderId="56" xfId="0" applyFont="1" applyFill="1" applyBorder="1" applyAlignment="1">
      <alignment horizontal="center" vertical="center" wrapText="1"/>
    </xf>
    <xf numFmtId="180" fontId="14" fillId="7" borderId="56" xfId="0" applyNumberFormat="1" applyFont="1" applyFill="1" applyBorder="1" applyAlignment="1">
      <alignment horizontal="center" vertical="center" wrapText="1"/>
    </xf>
    <xf numFmtId="0" fontId="14" fillId="7" borderId="57" xfId="0" applyFont="1" applyFill="1" applyBorder="1" applyAlignment="1">
      <alignment horizontal="center" vertical="center" wrapText="1"/>
    </xf>
    <xf numFmtId="9" fontId="22" fillId="0" borderId="0" xfId="1" applyFont="1" applyFill="1" applyBorder="1" applyAlignment="1">
      <alignment horizontal="right" vertical="center" wrapText="1"/>
    </xf>
    <xf numFmtId="9" fontId="22" fillId="0" borderId="54" xfId="1" applyFont="1" applyFill="1" applyBorder="1" applyAlignment="1">
      <alignment horizontal="right" vertical="center" wrapText="1"/>
    </xf>
    <xf numFmtId="9" fontId="22" fillId="0" borderId="59" xfId="1" applyFont="1" applyFill="1" applyBorder="1" applyAlignment="1">
      <alignment horizontal="right" vertical="center" wrapText="1"/>
    </xf>
    <xf numFmtId="180" fontId="26" fillId="2" borderId="66" xfId="0" applyNumberFormat="1" applyFont="1" applyFill="1" applyBorder="1" applyAlignment="1">
      <alignment horizontal="right" vertical="center" wrapText="1"/>
    </xf>
    <xf numFmtId="180" fontId="26" fillId="2" borderId="50" xfId="0" applyNumberFormat="1" applyFont="1" applyFill="1" applyBorder="1" applyAlignment="1">
      <alignment horizontal="right" vertical="center" wrapText="1"/>
    </xf>
    <xf numFmtId="180" fontId="26" fillId="2" borderId="59" xfId="0" applyNumberFormat="1" applyFont="1" applyFill="1" applyBorder="1" applyAlignment="1">
      <alignment horizontal="right" vertical="center" wrapText="1"/>
    </xf>
    <xf numFmtId="180" fontId="26" fillId="2" borderId="58" xfId="0" applyNumberFormat="1" applyFont="1" applyFill="1" applyBorder="1" applyAlignment="1">
      <alignment horizontal="right" vertical="center" wrapText="1"/>
    </xf>
    <xf numFmtId="180" fontId="26" fillId="2" borderId="0" xfId="0" applyNumberFormat="1" applyFont="1" applyFill="1" applyAlignment="1">
      <alignment horizontal="right" vertical="center" wrapText="1"/>
    </xf>
    <xf numFmtId="180" fontId="19" fillId="11" borderId="50" xfId="2" applyNumberFormat="1" applyFont="1" applyFill="1" applyBorder="1" applyAlignment="1">
      <alignment horizontal="right" vertical="center" wrapText="1"/>
    </xf>
    <xf numFmtId="180" fontId="19" fillId="11" borderId="59" xfId="2" applyNumberFormat="1" applyFont="1" applyFill="1" applyBorder="1" applyAlignment="1">
      <alignment horizontal="right" vertical="center" wrapText="1"/>
    </xf>
    <xf numFmtId="180" fontId="19" fillId="11" borderId="58" xfId="2" applyNumberFormat="1" applyFont="1" applyFill="1" applyBorder="1" applyAlignment="1">
      <alignment horizontal="right" vertical="center" wrapText="1"/>
    </xf>
    <xf numFmtId="9" fontId="22" fillId="11" borderId="0" xfId="1" applyFont="1" applyFill="1" applyBorder="1" applyAlignment="1">
      <alignment horizontal="right" vertical="center" wrapText="1"/>
    </xf>
    <xf numFmtId="9" fontId="22" fillId="11" borderId="54" xfId="1" applyFont="1" applyFill="1" applyBorder="1" applyAlignment="1">
      <alignment horizontal="right" vertical="center" wrapText="1"/>
    </xf>
    <xf numFmtId="9" fontId="22" fillId="11" borderId="59" xfId="1" applyFont="1" applyFill="1" applyBorder="1" applyAlignment="1">
      <alignment horizontal="right" vertical="center" wrapText="1"/>
    </xf>
    <xf numFmtId="180" fontId="26" fillId="2" borderId="71" xfId="0" applyNumberFormat="1" applyFont="1" applyFill="1" applyBorder="1" applyAlignment="1">
      <alignment horizontal="right" vertical="center" wrapText="1"/>
    </xf>
    <xf numFmtId="180" fontId="26" fillId="2" borderId="72" xfId="0" applyNumberFormat="1" applyFont="1" applyFill="1" applyBorder="1" applyAlignment="1">
      <alignment horizontal="right" vertical="center" wrapText="1"/>
    </xf>
    <xf numFmtId="180" fontId="26" fillId="2" borderId="73" xfId="0" applyNumberFormat="1" applyFont="1" applyFill="1" applyBorder="1" applyAlignment="1">
      <alignment horizontal="right" vertical="center" wrapText="1"/>
    </xf>
    <xf numFmtId="9" fontId="18" fillId="2" borderId="1" xfId="1" applyFont="1" applyFill="1" applyBorder="1" applyAlignment="1">
      <alignment horizontal="right" vertical="center" wrapText="1"/>
    </xf>
    <xf numFmtId="180" fontId="26" fillId="2" borderId="1" xfId="0" applyNumberFormat="1" applyFont="1" applyFill="1" applyBorder="1" applyAlignment="1">
      <alignment horizontal="right" vertical="center" wrapText="1"/>
    </xf>
    <xf numFmtId="9" fontId="18" fillId="2" borderId="73" xfId="1" applyFont="1" applyFill="1" applyBorder="1" applyAlignment="1">
      <alignment horizontal="right" vertical="center" wrapText="1"/>
    </xf>
    <xf numFmtId="180" fontId="21" fillId="0" borderId="0" xfId="0" applyNumberFormat="1" applyFont="1" applyAlignment="1">
      <alignment horizontal="right" vertical="center" wrapText="1"/>
    </xf>
    <xf numFmtId="0" fontId="21" fillId="0" borderId="0" xfId="0" applyFont="1" applyAlignment="1">
      <alignment horizontal="right" vertical="center" wrapText="1"/>
    </xf>
    <xf numFmtId="180" fontId="14" fillId="7" borderId="57" xfId="0" applyNumberFormat="1" applyFont="1" applyFill="1" applyBorder="1" applyAlignment="1">
      <alignment horizontal="center" vertical="center" wrapText="1"/>
    </xf>
    <xf numFmtId="181" fontId="26" fillId="2" borderId="66" xfId="1" applyNumberFormat="1" applyFont="1" applyFill="1" applyBorder="1" applyAlignment="1">
      <alignment horizontal="right" vertical="center" wrapText="1"/>
    </xf>
    <xf numFmtId="181" fontId="26" fillId="2" borderId="50" xfId="1" applyNumberFormat="1" applyFont="1" applyFill="1" applyBorder="1" applyAlignment="1">
      <alignment horizontal="right" vertical="center" wrapText="1"/>
    </xf>
    <xf numFmtId="181" fontId="26" fillId="2" borderId="59" xfId="1" applyNumberFormat="1" applyFont="1" applyFill="1" applyBorder="1" applyAlignment="1">
      <alignment horizontal="right" vertical="center" wrapText="1"/>
    </xf>
    <xf numFmtId="181" fontId="26" fillId="2" borderId="58" xfId="1" applyNumberFormat="1" applyFont="1" applyFill="1" applyBorder="1" applyAlignment="1">
      <alignment horizontal="right" vertical="center" wrapText="1"/>
    </xf>
    <xf numFmtId="181" fontId="19" fillId="11" borderId="66" xfId="1" applyNumberFormat="1" applyFont="1" applyFill="1" applyBorder="1" applyAlignment="1">
      <alignment horizontal="right" vertical="center" wrapText="1"/>
    </xf>
    <xf numFmtId="181" fontId="19" fillId="11" borderId="50" xfId="1" applyNumberFormat="1" applyFont="1" applyFill="1" applyBorder="1" applyAlignment="1">
      <alignment horizontal="right" vertical="center" wrapText="1"/>
    </xf>
    <xf numFmtId="181" fontId="19" fillId="11" borderId="59" xfId="1" applyNumberFormat="1" applyFont="1" applyFill="1" applyBorder="1" applyAlignment="1">
      <alignment horizontal="right" vertical="center" wrapText="1"/>
    </xf>
    <xf numFmtId="9" fontId="18" fillId="0" borderId="90" xfId="1" applyFont="1" applyFill="1" applyBorder="1" applyAlignment="1">
      <alignment horizontal="right" vertical="center" wrapText="1"/>
    </xf>
    <xf numFmtId="9" fontId="18" fillId="0" borderId="91" xfId="1" applyFont="1" applyFill="1" applyBorder="1" applyAlignment="1">
      <alignment horizontal="right" vertical="center" wrapText="1"/>
    </xf>
    <xf numFmtId="9" fontId="18" fillId="0" borderId="86" xfId="1" applyFont="1" applyFill="1" applyBorder="1" applyAlignment="1">
      <alignment horizontal="right" vertical="center" wrapText="1"/>
    </xf>
    <xf numFmtId="0" fontId="13" fillId="0" borderId="0" xfId="0" applyFont="1" applyAlignment="1">
      <alignment vertical="center" wrapText="1"/>
    </xf>
    <xf numFmtId="9" fontId="13" fillId="0" borderId="0" xfId="1" applyFont="1" applyFill="1" applyBorder="1" applyAlignment="1">
      <alignment vertical="center" wrapText="1"/>
    </xf>
    <xf numFmtId="0" fontId="14" fillId="7" borderId="5" xfId="0" applyFont="1" applyFill="1" applyBorder="1" applyAlignment="1">
      <alignment horizontal="center" vertical="center" wrapText="1"/>
    </xf>
    <xf numFmtId="0" fontId="14" fillId="7" borderId="2" xfId="0" applyFont="1" applyFill="1" applyBorder="1" applyAlignment="1">
      <alignment horizontal="center" vertical="center" wrapText="1"/>
    </xf>
    <xf numFmtId="0" fontId="14" fillId="7" borderId="69" xfId="0" applyFont="1" applyFill="1" applyBorder="1" applyAlignment="1">
      <alignment horizontal="center" vertical="center" wrapText="1"/>
    </xf>
    <xf numFmtId="0" fontId="14" fillId="7" borderId="49" xfId="0" applyFont="1" applyFill="1" applyBorder="1" applyAlignment="1">
      <alignment horizontal="center" vertical="center" wrapText="1"/>
    </xf>
    <xf numFmtId="9" fontId="21" fillId="8" borderId="0" xfId="1" applyFont="1" applyFill="1" applyBorder="1" applyAlignment="1">
      <alignment vertical="center" wrapText="1"/>
    </xf>
    <xf numFmtId="9" fontId="21" fillId="8" borderId="68" xfId="1" applyFont="1" applyFill="1" applyBorder="1" applyAlignment="1">
      <alignment vertical="center" wrapText="1"/>
    </xf>
    <xf numFmtId="41" fontId="19" fillId="8" borderId="0" xfId="2" applyFont="1" applyFill="1" applyBorder="1" applyAlignment="1">
      <alignment vertical="center" wrapText="1"/>
    </xf>
    <xf numFmtId="9" fontId="21" fillId="8" borderId="4" xfId="1" applyFont="1" applyFill="1" applyBorder="1" applyAlignment="1">
      <alignment vertical="center" wrapText="1"/>
    </xf>
    <xf numFmtId="9" fontId="21" fillId="6" borderId="0" xfId="1" applyFont="1" applyFill="1" applyBorder="1" applyAlignment="1">
      <alignment vertical="center" wrapText="1"/>
    </xf>
    <xf numFmtId="9" fontId="21" fillId="6" borderId="68" xfId="1" applyFont="1" applyFill="1" applyBorder="1" applyAlignment="1">
      <alignment vertical="center" wrapText="1"/>
    </xf>
    <xf numFmtId="9" fontId="21" fillId="6" borderId="4" xfId="1" applyFont="1" applyFill="1" applyBorder="1" applyAlignment="1">
      <alignment vertical="center" wrapText="1"/>
    </xf>
    <xf numFmtId="9" fontId="21" fillId="0" borderId="0" xfId="1" applyFont="1" applyFill="1" applyBorder="1" applyAlignment="1">
      <alignment vertical="center" wrapText="1"/>
    </xf>
    <xf numFmtId="9" fontId="21" fillId="0" borderId="68" xfId="1" applyFont="1" applyFill="1" applyBorder="1" applyAlignment="1">
      <alignment vertical="center" wrapText="1"/>
    </xf>
    <xf numFmtId="9" fontId="21" fillId="0" borderId="4" xfId="1" applyFont="1" applyFill="1" applyBorder="1" applyAlignment="1">
      <alignment vertical="center" wrapText="1"/>
    </xf>
    <xf numFmtId="41" fontId="21" fillId="6" borderId="0" xfId="2" applyFont="1" applyFill="1" applyBorder="1" applyAlignment="1">
      <alignment vertical="center" wrapText="1"/>
    </xf>
    <xf numFmtId="41" fontId="21" fillId="6" borderId="68" xfId="2" applyFont="1" applyFill="1" applyBorder="1" applyAlignment="1">
      <alignment vertical="center" wrapText="1"/>
    </xf>
    <xf numFmtId="41" fontId="21" fillId="6" borderId="4" xfId="2" applyFont="1" applyFill="1" applyBorder="1" applyAlignment="1">
      <alignment vertical="center" wrapText="1"/>
    </xf>
    <xf numFmtId="9" fontId="21" fillId="8" borderId="1" xfId="1" applyFont="1" applyFill="1" applyBorder="1" applyAlignment="1">
      <alignment vertical="center" wrapText="1"/>
    </xf>
    <xf numFmtId="9" fontId="21" fillId="8" borderId="70" xfId="1" applyFont="1" applyFill="1" applyBorder="1" applyAlignment="1">
      <alignment vertical="center" wrapText="1"/>
    </xf>
    <xf numFmtId="41" fontId="19" fillId="8" borderId="1" xfId="2" applyFont="1" applyFill="1" applyBorder="1" applyAlignment="1">
      <alignment vertical="center" wrapText="1"/>
    </xf>
    <xf numFmtId="9" fontId="21" fillId="8" borderId="7" xfId="1" applyFont="1" applyFill="1" applyBorder="1" applyAlignment="1">
      <alignment vertical="center" wrapText="1"/>
    </xf>
    <xf numFmtId="178" fontId="4" fillId="0" borderId="0" xfId="2" applyNumberFormat="1" applyFont="1" applyBorder="1" applyAlignment="1">
      <alignment vertical="center" wrapText="1"/>
    </xf>
    <xf numFmtId="9" fontId="4" fillId="0" borderId="0" xfId="1" applyFont="1" applyBorder="1" applyAlignment="1">
      <alignment vertical="center" wrapText="1"/>
    </xf>
    <xf numFmtId="0" fontId="12" fillId="7" borderId="5" xfId="0" applyFont="1" applyFill="1" applyBorder="1" applyAlignment="1">
      <alignment horizontal="center" vertical="center" wrapText="1"/>
    </xf>
    <xf numFmtId="9" fontId="12" fillId="7" borderId="2" xfId="1" applyFont="1" applyFill="1" applyBorder="1" applyAlignment="1">
      <alignment horizontal="center" vertical="center" wrapText="1"/>
    </xf>
    <xf numFmtId="9" fontId="12" fillId="7" borderId="69" xfId="1" applyFont="1" applyFill="1" applyBorder="1" applyAlignment="1">
      <alignment horizontal="center" vertical="center" wrapText="1"/>
    </xf>
    <xf numFmtId="0" fontId="12" fillId="7" borderId="2" xfId="0" applyFont="1" applyFill="1" applyBorder="1" applyAlignment="1">
      <alignment horizontal="center" vertical="center" wrapText="1"/>
    </xf>
    <xf numFmtId="9" fontId="12" fillId="7" borderId="49" xfId="1" applyFont="1" applyFill="1" applyBorder="1" applyAlignment="1">
      <alignment horizontal="center" vertical="center" wrapText="1"/>
    </xf>
    <xf numFmtId="41" fontId="2" fillId="3" borderId="4" xfId="2" applyFont="1" applyFill="1" applyBorder="1" applyAlignment="1">
      <alignment horizontal="right" vertical="center" wrapText="1"/>
    </xf>
    <xf numFmtId="41" fontId="2" fillId="3" borderId="3" xfId="2" applyFont="1" applyFill="1" applyBorder="1" applyAlignment="1">
      <alignment horizontal="right" vertical="center" wrapText="1"/>
    </xf>
    <xf numFmtId="9" fontId="6" fillId="3" borderId="0" xfId="1" applyFont="1" applyFill="1" applyBorder="1" applyAlignment="1">
      <alignment horizontal="right" vertical="center" wrapText="1"/>
    </xf>
    <xf numFmtId="9" fontId="6" fillId="3" borderId="68" xfId="1" applyFont="1" applyFill="1" applyBorder="1" applyAlignment="1">
      <alignment horizontal="right" vertical="center" wrapText="1"/>
    </xf>
    <xf numFmtId="41" fontId="2" fillId="3" borderId="0" xfId="2" applyFont="1" applyFill="1" applyBorder="1" applyAlignment="1">
      <alignment horizontal="right" vertical="center" wrapText="1"/>
    </xf>
    <xf numFmtId="9" fontId="6" fillId="3" borderId="4" xfId="1" applyFont="1" applyFill="1" applyBorder="1" applyAlignment="1">
      <alignment horizontal="right" vertical="center" wrapText="1"/>
    </xf>
    <xf numFmtId="41" fontId="2" fillId="2" borderId="4" xfId="2" applyFont="1" applyFill="1" applyBorder="1" applyAlignment="1">
      <alignment horizontal="right" vertical="center" wrapText="1"/>
    </xf>
    <xf numFmtId="41" fontId="2" fillId="2" borderId="3" xfId="2" applyFont="1" applyFill="1" applyBorder="1" applyAlignment="1">
      <alignment horizontal="right" vertical="center" wrapText="1"/>
    </xf>
    <xf numFmtId="9" fontId="6" fillId="2" borderId="0" xfId="1" applyFont="1" applyFill="1" applyBorder="1" applyAlignment="1">
      <alignment horizontal="right" vertical="center" wrapText="1"/>
    </xf>
    <xf numFmtId="9" fontId="6" fillId="2" borderId="68" xfId="1" applyFont="1" applyFill="1" applyBorder="1" applyAlignment="1">
      <alignment horizontal="right" vertical="center" wrapText="1"/>
    </xf>
    <xf numFmtId="41" fontId="2" fillId="2" borderId="0" xfId="2" applyFont="1" applyFill="1" applyBorder="1" applyAlignment="1">
      <alignment horizontal="right" vertical="center" wrapText="1"/>
    </xf>
    <xf numFmtId="9" fontId="6" fillId="2" borderId="4" xfId="1" applyFont="1" applyFill="1" applyBorder="1" applyAlignment="1">
      <alignment horizontal="right" vertical="center" wrapText="1"/>
    </xf>
    <xf numFmtId="41" fontId="4" fillId="0" borderId="4" xfId="2" applyFont="1" applyFill="1" applyBorder="1" applyAlignment="1">
      <alignment horizontal="right" vertical="center" wrapText="1"/>
    </xf>
    <xf numFmtId="41" fontId="4" fillId="0" borderId="3" xfId="2" applyFont="1" applyFill="1" applyBorder="1" applyAlignment="1">
      <alignment horizontal="right" vertical="center" wrapText="1"/>
    </xf>
    <xf numFmtId="9" fontId="6" fillId="0" borderId="0" xfId="1" applyFont="1" applyFill="1" applyBorder="1" applyAlignment="1">
      <alignment horizontal="right" vertical="center" wrapText="1"/>
    </xf>
    <xf numFmtId="9" fontId="6" fillId="0" borderId="68" xfId="1" applyFont="1" applyFill="1" applyBorder="1" applyAlignment="1">
      <alignment horizontal="right" vertical="center" wrapText="1"/>
    </xf>
    <xf numFmtId="41" fontId="4" fillId="0" borderId="0" xfId="2" applyFont="1" applyFill="1" applyBorder="1" applyAlignment="1">
      <alignment horizontal="right" vertical="center" wrapText="1"/>
    </xf>
    <xf numFmtId="9" fontId="6" fillId="0" borderId="4" xfId="1" applyFont="1" applyFill="1" applyBorder="1" applyAlignment="1">
      <alignment horizontal="right" vertical="center" wrapText="1"/>
    </xf>
    <xf numFmtId="180" fontId="13" fillId="0" borderId="0" xfId="0" applyNumberFormat="1" applyFont="1" applyAlignment="1">
      <alignment vertical="center" wrapText="1"/>
    </xf>
    <xf numFmtId="0" fontId="20" fillId="0" borderId="0" xfId="0" applyFont="1" applyAlignment="1">
      <alignment vertical="center" wrapText="1"/>
    </xf>
    <xf numFmtId="0" fontId="14" fillId="7" borderId="74" xfId="0" applyFont="1" applyFill="1" applyBorder="1" applyAlignment="1">
      <alignment horizontal="center" vertical="center" wrapText="1"/>
    </xf>
    <xf numFmtId="0" fontId="14" fillId="7" borderId="77" xfId="0" applyFont="1" applyFill="1" applyBorder="1" applyAlignment="1">
      <alignment horizontal="center" vertical="center" wrapText="1"/>
    </xf>
    <xf numFmtId="0" fontId="14" fillId="7" borderId="79" xfId="0" applyFont="1" applyFill="1" applyBorder="1" applyAlignment="1">
      <alignment horizontal="center" vertical="center" wrapText="1"/>
    </xf>
    <xf numFmtId="180" fontId="19" fillId="2" borderId="80" xfId="2" applyNumberFormat="1" applyFont="1" applyFill="1" applyBorder="1" applyAlignment="1">
      <alignment horizontal="right" vertical="center" wrapText="1"/>
    </xf>
    <xf numFmtId="185" fontId="21" fillId="0" borderId="80" xfId="2" applyNumberFormat="1" applyFont="1" applyFill="1" applyBorder="1" applyAlignment="1">
      <alignment horizontal="right" vertical="center" wrapText="1"/>
    </xf>
    <xf numFmtId="181" fontId="23" fillId="0" borderId="80" xfId="1" applyNumberFormat="1" applyFont="1" applyFill="1" applyBorder="1" applyAlignment="1">
      <alignment horizontal="right" vertical="center" wrapText="1"/>
    </xf>
    <xf numFmtId="180" fontId="19" fillId="2" borderId="80" xfId="0" applyNumberFormat="1" applyFont="1" applyFill="1" applyBorder="1" applyAlignment="1">
      <alignment horizontal="right" vertical="center" wrapText="1"/>
    </xf>
    <xf numFmtId="181" fontId="24" fillId="2" borderId="80" xfId="1" applyNumberFormat="1" applyFont="1" applyFill="1" applyBorder="1" applyAlignment="1">
      <alignment horizontal="right" vertical="center" wrapText="1"/>
    </xf>
    <xf numFmtId="181" fontId="24" fillId="2" borderId="81" xfId="1" applyNumberFormat="1" applyFont="1" applyFill="1" applyBorder="1" applyAlignment="1">
      <alignment horizontal="right" vertical="center" wrapText="1"/>
    </xf>
    <xf numFmtId="185" fontId="21" fillId="0" borderId="80" xfId="1" applyNumberFormat="1" applyFont="1" applyFill="1" applyBorder="1" applyAlignment="1">
      <alignment horizontal="right" vertical="center" wrapText="1"/>
    </xf>
    <xf numFmtId="181" fontId="24" fillId="2" borderId="78" xfId="1" applyNumberFormat="1" applyFont="1" applyFill="1" applyBorder="1" applyAlignment="1">
      <alignment horizontal="right" vertical="center" wrapText="1"/>
    </xf>
    <xf numFmtId="181" fontId="24" fillId="2" borderId="82" xfId="1" applyNumberFormat="1" applyFont="1" applyFill="1" applyBorder="1" applyAlignment="1">
      <alignment horizontal="right" vertical="center" wrapText="1"/>
    </xf>
    <xf numFmtId="9" fontId="13" fillId="0" borderId="0" xfId="1" applyFont="1" applyFill="1" applyBorder="1" applyAlignment="1">
      <alignment horizontal="center" vertical="center" wrapText="1"/>
    </xf>
    <xf numFmtId="180" fontId="19" fillId="0" borderId="0" xfId="0" applyNumberFormat="1" applyFont="1" applyAlignment="1">
      <alignment horizontal="left" vertical="center" wrapText="1"/>
    </xf>
    <xf numFmtId="9" fontId="22" fillId="0" borderId="81" xfId="1" applyFont="1" applyFill="1" applyBorder="1" applyAlignment="1">
      <alignment horizontal="right" vertical="center" wrapText="1"/>
    </xf>
    <xf numFmtId="180" fontId="26" fillId="2" borderId="80" xfId="0" applyNumberFormat="1" applyFont="1" applyFill="1" applyBorder="1" applyAlignment="1">
      <alignment horizontal="right" vertical="center" wrapText="1"/>
    </xf>
    <xf numFmtId="180" fontId="19" fillId="11" borderId="80" xfId="2" applyNumberFormat="1" applyFont="1" applyFill="1" applyBorder="1" applyAlignment="1">
      <alignment horizontal="right" vertical="center" wrapText="1"/>
    </xf>
    <xf numFmtId="180" fontId="26" fillId="0" borderId="84" xfId="0" applyNumberFormat="1" applyFont="1" applyBorder="1" applyAlignment="1">
      <alignment horizontal="right" vertical="center" wrapText="1"/>
    </xf>
    <xf numFmtId="9" fontId="18" fillId="0" borderId="85" xfId="1" applyFont="1" applyFill="1" applyBorder="1" applyAlignment="1">
      <alignment horizontal="right" vertical="center" wrapText="1"/>
    </xf>
    <xf numFmtId="178" fontId="18" fillId="0" borderId="85" xfId="1" applyNumberFormat="1" applyFont="1" applyFill="1" applyBorder="1" applyAlignment="1">
      <alignment horizontal="right" vertical="center" wrapText="1"/>
    </xf>
    <xf numFmtId="0" fontId="21" fillId="0" borderId="0" xfId="0" applyFont="1" applyAlignment="1">
      <alignment vertical="center" wrapText="1"/>
    </xf>
    <xf numFmtId="180" fontId="13" fillId="0" borderId="0" xfId="0" applyNumberFormat="1" applyFont="1" applyAlignment="1">
      <alignment horizontal="left" vertical="center" wrapText="1"/>
    </xf>
    <xf numFmtId="181" fontId="26" fillId="2" borderId="80" xfId="1" applyNumberFormat="1" applyFont="1" applyFill="1" applyBorder="1" applyAlignment="1">
      <alignment horizontal="right" vertical="center" wrapText="1"/>
    </xf>
    <xf numFmtId="181" fontId="19" fillId="11" borderId="80" xfId="1" applyNumberFormat="1" applyFont="1" applyFill="1" applyBorder="1" applyAlignment="1">
      <alignment horizontal="right" vertical="center" wrapText="1"/>
    </xf>
    <xf numFmtId="181" fontId="22" fillId="11" borderId="81" xfId="1" applyNumberFormat="1" applyFont="1" applyFill="1" applyBorder="1" applyAlignment="1">
      <alignment horizontal="right" vertical="center" wrapText="1"/>
    </xf>
    <xf numFmtId="181" fontId="19" fillId="0" borderId="0" xfId="1" applyNumberFormat="1" applyFont="1" applyFill="1" applyBorder="1" applyAlignment="1">
      <alignment horizontal="center" vertical="center"/>
    </xf>
    <xf numFmtId="0" fontId="39" fillId="0" borderId="0" xfId="0" applyFont="1">
      <alignment vertical="center"/>
    </xf>
    <xf numFmtId="0" fontId="40" fillId="0" borderId="0" xfId="0" applyFont="1">
      <alignment vertical="center"/>
    </xf>
    <xf numFmtId="0" fontId="33" fillId="6" borderId="9" xfId="0" applyFont="1" applyFill="1" applyBorder="1" applyAlignment="1">
      <alignment horizontal="center" vertical="center" wrapText="1" readingOrder="1"/>
    </xf>
    <xf numFmtId="0" fontId="8" fillId="8" borderId="9" xfId="0" applyFont="1" applyFill="1" applyBorder="1" applyAlignment="1">
      <alignment horizontal="center" vertical="center" wrapText="1" readingOrder="1"/>
    </xf>
    <xf numFmtId="0" fontId="41" fillId="8" borderId="9" xfId="0" applyFont="1" applyFill="1" applyBorder="1" applyAlignment="1">
      <alignment horizontal="center" vertical="center" wrapText="1" readingOrder="1"/>
    </xf>
    <xf numFmtId="0" fontId="8" fillId="8" borderId="10" xfId="0" applyFont="1" applyFill="1" applyBorder="1" applyAlignment="1">
      <alignment horizontal="center" vertical="center" wrapText="1" readingOrder="1"/>
    </xf>
    <xf numFmtId="0" fontId="41" fillId="8" borderId="10" xfId="0" applyFont="1" applyFill="1" applyBorder="1" applyAlignment="1">
      <alignment horizontal="center" vertical="center" wrapText="1" readingOrder="1"/>
    </xf>
    <xf numFmtId="0" fontId="8" fillId="0" borderId="9" xfId="0" applyFont="1" applyBorder="1" applyAlignment="1">
      <alignment horizontal="center" vertical="center" wrapText="1" readingOrder="1"/>
    </xf>
    <xf numFmtId="0" fontId="8" fillId="0" borderId="43" xfId="0" applyFont="1" applyBorder="1" applyAlignment="1">
      <alignment horizontal="left" vertical="center" readingOrder="1"/>
    </xf>
    <xf numFmtId="0" fontId="8" fillId="0" borderId="44" xfId="0" applyFont="1" applyBorder="1" applyAlignment="1">
      <alignment horizontal="left" vertical="center" readingOrder="1"/>
    </xf>
    <xf numFmtId="0" fontId="10" fillId="0" borderId="42" xfId="0" applyFont="1" applyBorder="1" applyAlignment="1">
      <alignment horizontal="left" vertical="center" readingOrder="1"/>
    </xf>
    <xf numFmtId="0" fontId="10" fillId="0" borderId="0" xfId="0" applyFont="1" applyAlignment="1">
      <alignment horizontal="left" vertical="center" readingOrder="1"/>
    </xf>
    <xf numFmtId="0" fontId="17" fillId="0" borderId="38" xfId="0" applyFont="1" applyBorder="1">
      <alignment vertical="center"/>
    </xf>
    <xf numFmtId="182" fontId="42" fillId="6" borderId="9" xfId="0" applyNumberFormat="1" applyFont="1" applyFill="1" applyBorder="1" applyAlignment="1">
      <alignment horizontal="right" vertical="center" wrapText="1" readingOrder="1"/>
    </xf>
    <xf numFmtId="184" fontId="15" fillId="0" borderId="9" xfId="0" applyNumberFormat="1" applyFont="1" applyBorder="1" applyAlignment="1">
      <alignment horizontal="right" vertical="center" wrapText="1" readingOrder="1"/>
    </xf>
    <xf numFmtId="181" fontId="15" fillId="0" borderId="9" xfId="0" applyNumberFormat="1" applyFont="1" applyBorder="1" applyAlignment="1">
      <alignment horizontal="right" vertical="center" wrapText="1" readingOrder="1"/>
    </xf>
    <xf numFmtId="182" fontId="15" fillId="8" borderId="9" xfId="0" applyNumberFormat="1" applyFont="1" applyFill="1" applyBorder="1" applyAlignment="1">
      <alignment horizontal="right" vertical="center" wrapText="1" readingOrder="1"/>
    </xf>
    <xf numFmtId="182" fontId="15" fillId="8" borderId="10" xfId="0" applyNumberFormat="1" applyFont="1" applyFill="1" applyBorder="1" applyAlignment="1">
      <alignment horizontal="right" vertical="center" wrapText="1" readingOrder="1"/>
    </xf>
    <xf numFmtId="182" fontId="15" fillId="0" borderId="9" xfId="0" applyNumberFormat="1" applyFont="1" applyBorder="1" applyAlignment="1">
      <alignment horizontal="right" vertical="center" wrapText="1" readingOrder="1"/>
    </xf>
    <xf numFmtId="0" fontId="42" fillId="5" borderId="9" xfId="0" applyFont="1" applyFill="1" applyBorder="1" applyAlignment="1">
      <alignment horizontal="center" vertical="center" wrapText="1" readingOrder="1"/>
    </xf>
    <xf numFmtId="183" fontId="42" fillId="5" borderId="9" xfId="0" applyNumberFormat="1" applyFont="1" applyFill="1" applyBorder="1" applyAlignment="1">
      <alignment horizontal="right" vertical="center" wrapText="1" readingOrder="1"/>
    </xf>
    <xf numFmtId="0" fontId="45" fillId="0" borderId="0" xfId="0" applyFont="1">
      <alignment vertical="center"/>
    </xf>
    <xf numFmtId="0" fontId="43" fillId="0" borderId="25" xfId="0" applyFont="1" applyBorder="1">
      <alignment vertical="center"/>
    </xf>
    <xf numFmtId="0" fontId="43" fillId="0" borderId="21" xfId="0" applyFont="1" applyBorder="1">
      <alignment vertical="center"/>
    </xf>
    <xf numFmtId="9" fontId="45" fillId="0" borderId="0" xfId="1" applyFont="1">
      <alignment vertical="center"/>
    </xf>
    <xf numFmtId="183" fontId="16" fillId="0" borderId="0" xfId="0" applyNumberFormat="1" applyFont="1">
      <alignment vertical="center"/>
    </xf>
    <xf numFmtId="180" fontId="15" fillId="0" borderId="29" xfId="0" applyNumberFormat="1" applyFont="1" applyBorder="1" applyAlignment="1">
      <alignment horizontal="right" vertical="center" wrapText="1" readingOrder="1"/>
    </xf>
    <xf numFmtId="180" fontId="15" fillId="0" borderId="32" xfId="0" applyNumberFormat="1" applyFont="1" applyBorder="1" applyAlignment="1">
      <alignment horizontal="right" vertical="center" wrapText="1" readingOrder="1"/>
    </xf>
    <xf numFmtId="180" fontId="15" fillId="0" borderId="34" xfId="0" applyNumberFormat="1" applyFont="1" applyBorder="1" applyAlignment="1">
      <alignment horizontal="right" vertical="center" wrapText="1" readingOrder="1"/>
    </xf>
    <xf numFmtId="180" fontId="15" fillId="0" borderId="9" xfId="0" applyNumberFormat="1" applyFont="1" applyBorder="1" applyAlignment="1">
      <alignment horizontal="right" vertical="center" wrapText="1" readingOrder="1"/>
    </xf>
    <xf numFmtId="0" fontId="6" fillId="0" borderId="0" xfId="0" applyFont="1">
      <alignment vertical="center"/>
    </xf>
    <xf numFmtId="179" fontId="6" fillId="0" borderId="47" xfId="0" applyNumberFormat="1" applyFont="1" applyBorder="1" applyAlignment="1">
      <alignment horizontal="center" vertical="center"/>
    </xf>
    <xf numFmtId="179" fontId="6" fillId="0" borderId="75" xfId="0" applyNumberFormat="1" applyFont="1" applyBorder="1" applyAlignment="1">
      <alignment horizontal="center" vertical="center"/>
    </xf>
    <xf numFmtId="184" fontId="6" fillId="0" borderId="51" xfId="0" applyNumberFormat="1" applyFont="1" applyBorder="1" applyAlignment="1">
      <alignment horizontal="right" vertical="center" wrapText="1"/>
    </xf>
    <xf numFmtId="184" fontId="6" fillId="0" borderId="54" xfId="0" applyNumberFormat="1" applyFont="1" applyBorder="1" applyAlignment="1">
      <alignment horizontal="right" vertical="center" wrapText="1"/>
    </xf>
    <xf numFmtId="0" fontId="6" fillId="2" borderId="75" xfId="0" applyFont="1" applyFill="1" applyBorder="1" applyAlignment="1">
      <alignment horizontal="center" vertical="center" wrapText="1"/>
    </xf>
    <xf numFmtId="179" fontId="4" fillId="0" borderId="47" xfId="0" applyNumberFormat="1" applyFont="1" applyBorder="1" applyAlignment="1">
      <alignment horizontal="center" vertical="center"/>
    </xf>
    <xf numFmtId="179" fontId="4" fillId="0" borderId="75" xfId="0" applyNumberFormat="1" applyFont="1" applyBorder="1" applyAlignment="1">
      <alignment horizontal="center" vertical="center" wrapText="1"/>
    </xf>
    <xf numFmtId="184" fontId="4" fillId="0" borderId="51" xfId="0" applyNumberFormat="1" applyFont="1" applyBorder="1" applyAlignment="1">
      <alignment horizontal="right" vertical="center" wrapText="1"/>
    </xf>
    <xf numFmtId="184" fontId="4" fillId="0" borderId="54" xfId="0" applyNumberFormat="1" applyFont="1" applyBorder="1" applyAlignment="1">
      <alignment horizontal="right" vertical="center" wrapText="1"/>
    </xf>
    <xf numFmtId="184" fontId="4" fillId="0" borderId="0" xfId="0" applyNumberFormat="1" applyFont="1" applyAlignment="1">
      <alignment horizontal="right" vertical="center" wrapText="1"/>
    </xf>
    <xf numFmtId="184" fontId="4" fillId="0" borderId="58" xfId="0" applyNumberFormat="1" applyFont="1" applyBorder="1" applyAlignment="1">
      <alignment horizontal="right" vertical="center" wrapText="1"/>
    </xf>
    <xf numFmtId="9" fontId="46" fillId="0" borderId="0" xfId="1" applyFont="1" applyFill="1" applyBorder="1" applyAlignment="1">
      <alignment horizontal="right" vertical="center" wrapText="1"/>
    </xf>
    <xf numFmtId="9" fontId="46" fillId="0" borderId="54" xfId="1" applyFont="1" applyFill="1" applyBorder="1" applyAlignment="1">
      <alignment horizontal="right" vertical="center" wrapText="1"/>
    </xf>
    <xf numFmtId="9" fontId="46" fillId="0" borderId="59" xfId="1" applyFont="1" applyFill="1" applyBorder="1" applyAlignment="1">
      <alignment horizontal="right" vertical="center" wrapText="1"/>
    </xf>
    <xf numFmtId="179" fontId="46" fillId="0" borderId="0" xfId="0" applyNumberFormat="1" applyFont="1">
      <alignment vertical="center"/>
    </xf>
    <xf numFmtId="176" fontId="6" fillId="0" borderId="0" xfId="2" applyNumberFormat="1" applyFont="1" applyFill="1" applyBorder="1" applyAlignment="1">
      <alignment horizontal="right" vertical="center"/>
    </xf>
    <xf numFmtId="181" fontId="6" fillId="0" borderId="0" xfId="1" applyNumberFormat="1" applyFont="1" applyFill="1" applyBorder="1">
      <alignment vertical="center"/>
    </xf>
    <xf numFmtId="179" fontId="27" fillId="0" borderId="0" xfId="1" applyNumberFormat="1" applyFont="1" applyFill="1" applyBorder="1" applyAlignment="1">
      <alignment horizontal="right" vertical="center"/>
    </xf>
    <xf numFmtId="9" fontId="6" fillId="0" borderId="0" xfId="1" applyFont="1" applyFill="1" applyBorder="1" applyAlignment="1">
      <alignment horizontal="right" vertical="center"/>
    </xf>
    <xf numFmtId="180" fontId="6" fillId="0" borderId="80" xfId="0" applyNumberFormat="1" applyFont="1" applyBorder="1" applyAlignment="1">
      <alignment horizontal="right" vertical="center" wrapText="1"/>
    </xf>
    <xf numFmtId="185" fontId="6" fillId="0" borderId="80" xfId="0" applyNumberFormat="1" applyFont="1" applyBorder="1" applyAlignment="1">
      <alignment horizontal="right" vertical="center" wrapText="1"/>
    </xf>
    <xf numFmtId="180" fontId="6" fillId="0" borderId="0" xfId="0" applyNumberFormat="1" applyFont="1" applyAlignment="1">
      <alignment horizontal="center" vertical="center"/>
    </xf>
    <xf numFmtId="179" fontId="6" fillId="0" borderId="0" xfId="1" applyNumberFormat="1" applyFont="1" applyFill="1" applyBorder="1" applyAlignment="1">
      <alignment horizontal="right" vertical="center"/>
    </xf>
    <xf numFmtId="179" fontId="6" fillId="0" borderId="0" xfId="0" applyNumberFormat="1" applyFont="1">
      <alignment vertical="center"/>
    </xf>
    <xf numFmtId="0" fontId="6" fillId="2" borderId="47" xfId="0" applyFont="1" applyFill="1" applyBorder="1" applyAlignment="1">
      <alignment horizontal="center" vertical="center" wrapText="1"/>
    </xf>
    <xf numFmtId="180" fontId="6" fillId="2" borderId="80" xfId="0" applyNumberFormat="1" applyFont="1" applyFill="1" applyBorder="1" applyAlignment="1">
      <alignment horizontal="right" vertical="center" wrapText="1"/>
    </xf>
    <xf numFmtId="184" fontId="6" fillId="0" borderId="58" xfId="0" applyNumberFormat="1" applyFont="1" applyBorder="1" applyAlignment="1">
      <alignment horizontal="right" vertical="center" wrapText="1"/>
    </xf>
    <xf numFmtId="9" fontId="6" fillId="0" borderId="54" xfId="1" applyFont="1" applyFill="1" applyBorder="1" applyAlignment="1">
      <alignment horizontal="right" vertical="center" wrapText="1"/>
    </xf>
    <xf numFmtId="9" fontId="6" fillId="0" borderId="59" xfId="1" applyFont="1" applyFill="1" applyBorder="1" applyAlignment="1">
      <alignment horizontal="right" vertical="center" wrapText="1"/>
    </xf>
    <xf numFmtId="184" fontId="6" fillId="0" borderId="0" xfId="0" applyNumberFormat="1" applyFont="1" applyAlignment="1">
      <alignment horizontal="right" vertical="center" wrapText="1"/>
    </xf>
    <xf numFmtId="184" fontId="6" fillId="2" borderId="51" xfId="0" applyNumberFormat="1" applyFont="1" applyFill="1" applyBorder="1" applyAlignment="1">
      <alignment horizontal="right" vertical="center" wrapText="1"/>
    </xf>
    <xf numFmtId="184" fontId="6" fillId="2" borderId="54" xfId="0" applyNumberFormat="1" applyFont="1" applyFill="1" applyBorder="1" applyAlignment="1">
      <alignment horizontal="right" vertical="center" wrapText="1"/>
    </xf>
    <xf numFmtId="181" fontId="26" fillId="0" borderId="87" xfId="1" applyNumberFormat="1" applyFont="1" applyBorder="1" applyAlignment="1">
      <alignment horizontal="right" vertical="center" wrapText="1"/>
    </xf>
    <xf numFmtId="181" fontId="26" fillId="0" borderId="88" xfId="1" applyNumberFormat="1" applyFont="1" applyBorder="1" applyAlignment="1">
      <alignment horizontal="right" vertical="center" wrapText="1"/>
    </xf>
    <xf numFmtId="181" fontId="26" fillId="0" borderId="86" xfId="1" applyNumberFormat="1" applyFont="1" applyBorder="1" applyAlignment="1">
      <alignment horizontal="right" vertical="center" wrapText="1"/>
    </xf>
    <xf numFmtId="186" fontId="4" fillId="0" borderId="3" xfId="2" applyNumberFormat="1" applyFont="1" applyFill="1" applyBorder="1" applyAlignment="1">
      <alignment horizontal="right" vertical="center" wrapText="1"/>
    </xf>
    <xf numFmtId="49" fontId="5" fillId="0" borderId="0" xfId="0" applyNumberFormat="1" applyFont="1" applyAlignment="1">
      <alignment horizontal="centerContinuous" vertical="center" wrapText="1"/>
    </xf>
    <xf numFmtId="0" fontId="6" fillId="0" borderId="0" xfId="0" applyFont="1" applyAlignment="1">
      <alignment horizontal="right" vertical="center" wrapText="1"/>
    </xf>
    <xf numFmtId="178" fontId="13" fillId="0" borderId="0" xfId="1" applyNumberFormat="1" applyFont="1" applyFill="1" applyBorder="1" applyAlignment="1">
      <alignment horizontal="left" vertical="center"/>
    </xf>
    <xf numFmtId="186" fontId="21" fillId="6" borderId="80" xfId="2" applyNumberFormat="1" applyFont="1" applyFill="1" applyBorder="1" applyAlignment="1">
      <alignment horizontal="right" vertical="center" wrapText="1"/>
    </xf>
    <xf numFmtId="186" fontId="20" fillId="8" borderId="80" xfId="1" applyNumberFormat="1" applyFont="1" applyFill="1" applyBorder="1" applyAlignment="1">
      <alignment horizontal="right" vertical="center" wrapText="1"/>
    </xf>
    <xf numFmtId="186" fontId="20" fillId="6" borderId="80" xfId="1" applyNumberFormat="1" applyFont="1" applyFill="1" applyBorder="1" applyAlignment="1">
      <alignment horizontal="right" vertical="center" wrapText="1"/>
    </xf>
    <xf numFmtId="186" fontId="21" fillId="0" borderId="80" xfId="1" applyNumberFormat="1" applyFont="1" applyFill="1" applyBorder="1" applyAlignment="1">
      <alignment horizontal="right" vertical="center" wrapText="1"/>
    </xf>
    <xf numFmtId="186" fontId="20" fillId="8" borderId="78" xfId="1" applyNumberFormat="1" applyFont="1" applyFill="1" applyBorder="1" applyAlignment="1">
      <alignment horizontal="right" vertical="center" wrapText="1"/>
    </xf>
    <xf numFmtId="186" fontId="13" fillId="0" borderId="0" xfId="0" applyNumberFormat="1" applyFont="1">
      <alignment vertical="center"/>
    </xf>
    <xf numFmtId="41" fontId="19" fillId="8" borderId="75" xfId="2" applyFont="1" applyFill="1" applyBorder="1">
      <alignment vertical="center"/>
    </xf>
    <xf numFmtId="41" fontId="19" fillId="6" borderId="75" xfId="2" applyFont="1" applyFill="1" applyBorder="1">
      <alignment vertical="center"/>
    </xf>
    <xf numFmtId="41" fontId="13" fillId="0" borderId="75" xfId="2" applyFont="1" applyFill="1" applyBorder="1">
      <alignment vertical="center"/>
    </xf>
    <xf numFmtId="41" fontId="13" fillId="0" borderId="75" xfId="2" applyFont="1" applyFill="1" applyBorder="1" applyAlignment="1">
      <alignment vertical="center" wrapText="1"/>
    </xf>
    <xf numFmtId="41" fontId="19" fillId="6" borderId="75" xfId="2" applyFont="1" applyFill="1" applyBorder="1" applyAlignment="1">
      <alignment vertical="center" wrapText="1"/>
    </xf>
    <xf numFmtId="41" fontId="19" fillId="8" borderId="76" xfId="2" applyFont="1" applyFill="1" applyBorder="1">
      <alignment vertical="center"/>
    </xf>
    <xf numFmtId="0" fontId="14" fillId="7" borderId="93" xfId="0" applyFont="1" applyFill="1" applyBorder="1" applyAlignment="1">
      <alignment horizontal="left" vertical="center"/>
    </xf>
    <xf numFmtId="0" fontId="14" fillId="7" borderId="94" xfId="0" applyFont="1" applyFill="1" applyBorder="1" applyAlignment="1">
      <alignment horizontal="center" vertical="center"/>
    </xf>
    <xf numFmtId="0" fontId="19" fillId="8" borderId="80" xfId="0" applyFont="1" applyFill="1" applyBorder="1" applyAlignment="1">
      <alignment horizontal="left" vertical="center"/>
    </xf>
    <xf numFmtId="0" fontId="19" fillId="8" borderId="81" xfId="0" applyFont="1" applyFill="1" applyBorder="1">
      <alignment vertical="center"/>
    </xf>
    <xf numFmtId="0" fontId="19" fillId="6" borderId="80" xfId="0" applyFont="1" applyFill="1" applyBorder="1" applyAlignment="1">
      <alignment horizontal="left" vertical="center"/>
    </xf>
    <xf numFmtId="0" fontId="19" fillId="6" borderId="81" xfId="0" applyFont="1" applyFill="1" applyBorder="1">
      <alignment vertical="center"/>
    </xf>
    <xf numFmtId="0" fontId="13" fillId="0" borderId="80" xfId="0" applyFont="1" applyBorder="1" applyAlignment="1">
      <alignment horizontal="left" vertical="center"/>
    </xf>
    <xf numFmtId="0" fontId="13" fillId="0" borderId="81" xfId="0" applyFont="1" applyBorder="1">
      <alignment vertical="center"/>
    </xf>
    <xf numFmtId="0" fontId="19" fillId="8" borderId="78" xfId="0" applyFont="1" applyFill="1" applyBorder="1" applyAlignment="1">
      <alignment horizontal="left" vertical="center"/>
    </xf>
    <xf numFmtId="0" fontId="19" fillId="8" borderId="82" xfId="0" applyFont="1" applyFill="1" applyBorder="1">
      <alignment vertical="center"/>
    </xf>
    <xf numFmtId="41" fontId="19" fillId="0" borderId="0" xfId="2" applyFont="1">
      <alignment vertical="center"/>
    </xf>
    <xf numFmtId="187" fontId="16" fillId="0" borderId="0" xfId="0" applyNumberFormat="1" applyFont="1">
      <alignment vertical="center"/>
    </xf>
    <xf numFmtId="187" fontId="42" fillId="5" borderId="9" xfId="0" applyNumberFormat="1" applyFont="1" applyFill="1" applyBorder="1" applyAlignment="1">
      <alignment horizontal="right" vertical="center" wrapText="1" readingOrder="1"/>
    </xf>
    <xf numFmtId="187" fontId="15" fillId="0" borderId="9" xfId="0" applyNumberFormat="1" applyFont="1" applyBorder="1" applyAlignment="1">
      <alignment horizontal="right" vertical="center" wrapText="1" readingOrder="1"/>
    </xf>
    <xf numFmtId="187" fontId="42" fillId="6" borderId="9" xfId="0" applyNumberFormat="1" applyFont="1" applyFill="1" applyBorder="1" applyAlignment="1">
      <alignment horizontal="right" vertical="center" wrapText="1" readingOrder="1"/>
    </xf>
    <xf numFmtId="187" fontId="15" fillId="0" borderId="9" xfId="1" applyNumberFormat="1" applyFont="1" applyBorder="1" applyAlignment="1">
      <alignment horizontal="right" vertical="center" wrapText="1" readingOrder="1"/>
    </xf>
    <xf numFmtId="188" fontId="15" fillId="0" borderId="9" xfId="0" applyNumberFormat="1" applyFont="1" applyBorder="1" applyAlignment="1">
      <alignment horizontal="right" vertical="center" wrapText="1" readingOrder="1"/>
    </xf>
    <xf numFmtId="187" fontId="15" fillId="8" borderId="9" xfId="0" applyNumberFormat="1" applyFont="1" applyFill="1" applyBorder="1" applyAlignment="1">
      <alignment horizontal="right" vertical="center" wrapText="1" readingOrder="1"/>
    </xf>
    <xf numFmtId="187" fontId="15" fillId="8" borderId="10" xfId="0" applyNumberFormat="1" applyFont="1" applyFill="1" applyBorder="1" applyAlignment="1">
      <alignment horizontal="right" vertical="center" wrapText="1" readingOrder="1"/>
    </xf>
    <xf numFmtId="187" fontId="32" fillId="9" borderId="8" xfId="0" applyNumberFormat="1" applyFont="1" applyFill="1" applyBorder="1" applyAlignment="1">
      <alignment horizontal="center" vertical="center" wrapText="1" readingOrder="1"/>
    </xf>
    <xf numFmtId="187" fontId="40" fillId="0" borderId="0" xfId="0" applyNumberFormat="1" applyFont="1">
      <alignment vertical="center"/>
    </xf>
    <xf numFmtId="0" fontId="47" fillId="9" borderId="8" xfId="0" applyFont="1" applyFill="1" applyBorder="1" applyAlignment="1">
      <alignment horizontal="center" vertical="center" wrapText="1" readingOrder="1"/>
    </xf>
    <xf numFmtId="0" fontId="43" fillId="9" borderId="8" xfId="0" applyFont="1" applyFill="1" applyBorder="1" applyAlignment="1">
      <alignment horizontal="center" vertical="center" wrapText="1"/>
    </xf>
    <xf numFmtId="0" fontId="42" fillId="9" borderId="8" xfId="0" applyFont="1" applyFill="1" applyBorder="1" applyAlignment="1">
      <alignment horizontal="center" vertical="center" wrapText="1" readingOrder="1"/>
    </xf>
    <xf numFmtId="0" fontId="48" fillId="0" borderId="0" xfId="0" applyFont="1">
      <alignment vertical="center"/>
    </xf>
    <xf numFmtId="0" fontId="43" fillId="9" borderId="14" xfId="0" applyFont="1" applyFill="1" applyBorder="1" applyAlignment="1">
      <alignment vertical="top"/>
    </xf>
    <xf numFmtId="0" fontId="43" fillId="9" borderId="15" xfId="0" applyFont="1" applyFill="1" applyBorder="1" applyAlignment="1">
      <alignment vertical="top"/>
    </xf>
    <xf numFmtId="0" fontId="43" fillId="9" borderId="13" xfId="0" applyFont="1" applyFill="1" applyBorder="1" applyAlignment="1">
      <alignment vertical="top"/>
    </xf>
    <xf numFmtId="41" fontId="5" fillId="3" borderId="3" xfId="2" applyFont="1" applyFill="1" applyBorder="1" applyAlignment="1">
      <alignment horizontal="right" vertical="center" wrapText="1"/>
    </xf>
    <xf numFmtId="41" fontId="5" fillId="2" borderId="3" xfId="2" applyFont="1" applyFill="1" applyBorder="1" applyAlignment="1">
      <alignment horizontal="right" vertical="center" wrapText="1"/>
    </xf>
    <xf numFmtId="186" fontId="19" fillId="8" borderId="3" xfId="2" applyNumberFormat="1" applyFont="1" applyFill="1" applyBorder="1" applyAlignment="1">
      <alignment vertical="center" wrapText="1"/>
    </xf>
    <xf numFmtId="186" fontId="19" fillId="8" borderId="0" xfId="2" applyNumberFormat="1" applyFont="1" applyFill="1" applyBorder="1" applyAlignment="1">
      <alignment vertical="center" wrapText="1"/>
    </xf>
    <xf numFmtId="186" fontId="19" fillId="6" borderId="3" xfId="2" applyNumberFormat="1" applyFont="1" applyFill="1" applyBorder="1" applyAlignment="1">
      <alignment vertical="center" wrapText="1"/>
    </xf>
    <xf numFmtId="186" fontId="19" fillId="6" borderId="0" xfId="2" applyNumberFormat="1" applyFont="1" applyFill="1" applyBorder="1" applyAlignment="1">
      <alignment vertical="center" wrapText="1"/>
    </xf>
    <xf numFmtId="186" fontId="13" fillId="0" borderId="3" xfId="2" applyNumberFormat="1" applyFont="1" applyFill="1" applyBorder="1" applyAlignment="1">
      <alignment vertical="center" wrapText="1"/>
    </xf>
    <xf numFmtId="186" fontId="13" fillId="0" borderId="0" xfId="2" applyNumberFormat="1" applyFont="1" applyFill="1" applyBorder="1" applyAlignment="1">
      <alignment vertical="center" wrapText="1"/>
    </xf>
    <xf numFmtId="186" fontId="19" fillId="8" borderId="6" xfId="2" applyNumberFormat="1" applyFont="1" applyFill="1" applyBorder="1" applyAlignment="1">
      <alignment vertical="center" wrapText="1"/>
    </xf>
    <xf numFmtId="186" fontId="19" fillId="8" borderId="1" xfId="2" applyNumberFormat="1" applyFont="1" applyFill="1" applyBorder="1" applyAlignment="1">
      <alignment vertical="center" wrapText="1"/>
    </xf>
    <xf numFmtId="181" fontId="30" fillId="0" borderId="0" xfId="1" applyNumberFormat="1" applyFont="1">
      <alignment vertical="center"/>
    </xf>
    <xf numFmtId="184" fontId="6" fillId="0" borderId="4" xfId="0" applyNumberFormat="1" applyFont="1" applyBorder="1" applyAlignment="1">
      <alignment horizontal="right" vertical="center" wrapText="1"/>
    </xf>
    <xf numFmtId="41" fontId="2" fillId="3" borderId="96" xfId="2" applyFont="1" applyFill="1" applyBorder="1" applyAlignment="1">
      <alignment horizontal="right" vertical="center" wrapText="1"/>
    </xf>
    <xf numFmtId="41" fontId="2" fillId="3" borderId="68" xfId="2" applyFont="1" applyFill="1" applyBorder="1" applyAlignment="1">
      <alignment horizontal="right" vertical="center" wrapText="1"/>
    </xf>
    <xf numFmtId="41" fontId="2" fillId="2" borderId="96" xfId="2" applyFont="1" applyFill="1" applyBorder="1" applyAlignment="1">
      <alignment horizontal="right" vertical="center" wrapText="1"/>
    </xf>
    <xf numFmtId="41" fontId="2" fillId="2" borderId="68" xfId="2" applyFont="1" applyFill="1" applyBorder="1" applyAlignment="1">
      <alignment horizontal="right" vertical="center" wrapText="1"/>
    </xf>
    <xf numFmtId="41" fontId="4" fillId="0" borderId="96" xfId="2" applyFont="1" applyFill="1" applyBorder="1" applyAlignment="1">
      <alignment horizontal="right" vertical="center" wrapText="1"/>
    </xf>
    <xf numFmtId="41" fontId="4" fillId="0" borderId="68" xfId="2" applyFont="1" applyFill="1" applyBorder="1" applyAlignment="1">
      <alignment horizontal="right" vertical="center" wrapText="1"/>
    </xf>
    <xf numFmtId="0" fontId="30" fillId="0" borderId="0" xfId="0" applyFont="1" applyAlignment="1">
      <alignment horizontal="left" vertical="center"/>
    </xf>
    <xf numFmtId="178" fontId="13" fillId="0" borderId="0" xfId="1" applyNumberFormat="1" applyFont="1" applyFill="1" applyBorder="1" applyAlignment="1">
      <alignment vertical="center" wrapText="1"/>
    </xf>
    <xf numFmtId="178" fontId="14" fillId="7" borderId="5" xfId="0" applyNumberFormat="1" applyFont="1" applyFill="1" applyBorder="1" applyAlignment="1">
      <alignment horizontal="center" vertical="center" wrapText="1"/>
    </xf>
    <xf numFmtId="178" fontId="14" fillId="7" borderId="2" xfId="0" applyNumberFormat="1" applyFont="1" applyFill="1" applyBorder="1" applyAlignment="1">
      <alignment horizontal="center" vertical="center" wrapText="1"/>
    </xf>
    <xf numFmtId="178" fontId="20" fillId="8" borderId="51" xfId="1" applyNumberFormat="1" applyFont="1" applyFill="1" applyBorder="1" applyAlignment="1">
      <alignment vertical="center" wrapText="1"/>
    </xf>
    <xf numFmtId="178" fontId="20" fillId="8" borderId="54" xfId="1" applyNumberFormat="1" applyFont="1" applyFill="1" applyBorder="1" applyAlignment="1">
      <alignment vertical="center" wrapText="1"/>
    </xf>
    <xf numFmtId="178" fontId="20" fillId="6" borderId="51" xfId="1" applyNumberFormat="1" applyFont="1" applyFill="1" applyBorder="1" applyAlignment="1">
      <alignment vertical="center" wrapText="1"/>
    </xf>
    <xf numFmtId="178" fontId="20" fillId="6" borderId="54" xfId="1" applyNumberFormat="1" applyFont="1" applyFill="1" applyBorder="1" applyAlignment="1">
      <alignment vertical="center" wrapText="1"/>
    </xf>
    <xf numFmtId="178" fontId="21" fillId="0" borderId="51" xfId="1" applyNumberFormat="1" applyFont="1" applyFill="1" applyBorder="1" applyAlignment="1">
      <alignment vertical="center" wrapText="1"/>
    </xf>
    <xf numFmtId="178" fontId="21" fillId="0" borderId="54" xfId="1" applyNumberFormat="1" applyFont="1" applyFill="1" applyBorder="1" applyAlignment="1">
      <alignment vertical="center" wrapText="1"/>
    </xf>
    <xf numFmtId="179" fontId="21" fillId="0" borderId="54" xfId="1" applyNumberFormat="1" applyFont="1" applyFill="1" applyBorder="1" applyAlignment="1">
      <alignment vertical="center" wrapText="1"/>
    </xf>
    <xf numFmtId="41" fontId="21" fillId="6" borderId="51" xfId="2" applyFont="1" applyFill="1" applyBorder="1" applyAlignment="1">
      <alignment vertical="center" wrapText="1"/>
    </xf>
    <xf numFmtId="41" fontId="21" fillId="6" borderId="54" xfId="2" applyFont="1" applyFill="1" applyBorder="1" applyAlignment="1">
      <alignment vertical="center" wrapText="1"/>
    </xf>
    <xf numFmtId="178" fontId="20" fillId="8" borderId="52" xfId="1" applyNumberFormat="1" applyFont="1" applyFill="1" applyBorder="1" applyAlignment="1">
      <alignment vertical="center" wrapText="1"/>
    </xf>
    <xf numFmtId="178" fontId="20" fillId="8" borderId="53" xfId="1" applyNumberFormat="1" applyFont="1" applyFill="1" applyBorder="1" applyAlignment="1">
      <alignment vertical="center" wrapText="1"/>
    </xf>
    <xf numFmtId="178" fontId="13" fillId="0" borderId="3" xfId="1" applyNumberFormat="1" applyFont="1" applyFill="1" applyBorder="1" applyAlignment="1">
      <alignment vertical="center" wrapText="1"/>
    </xf>
    <xf numFmtId="41" fontId="19" fillId="8" borderId="3" xfId="2" applyFont="1" applyFill="1" applyBorder="1" applyAlignment="1">
      <alignment vertical="center" wrapText="1"/>
    </xf>
    <xf numFmtId="41" fontId="19" fillId="6" borderId="3" xfId="2" applyFont="1" applyFill="1" applyBorder="1" applyAlignment="1">
      <alignment vertical="center" wrapText="1"/>
    </xf>
    <xf numFmtId="41" fontId="13" fillId="0" borderId="3" xfId="2" applyFont="1" applyFill="1" applyBorder="1" applyAlignment="1">
      <alignment vertical="center" wrapText="1"/>
    </xf>
    <xf numFmtId="41" fontId="19" fillId="8" borderId="6" xfId="2" applyFont="1" applyFill="1" applyBorder="1" applyAlignment="1">
      <alignment vertical="center" wrapText="1"/>
    </xf>
    <xf numFmtId="0" fontId="12" fillId="7" borderId="97" xfId="0" applyFont="1" applyFill="1" applyBorder="1" applyAlignment="1">
      <alignment horizontal="center" vertical="center" wrapText="1"/>
    </xf>
    <xf numFmtId="0" fontId="12" fillId="7" borderId="69" xfId="0" applyFont="1" applyFill="1" applyBorder="1" applyAlignment="1">
      <alignment horizontal="center" vertical="center" wrapText="1"/>
    </xf>
    <xf numFmtId="0" fontId="12" fillId="7" borderId="49" xfId="0" applyFont="1" applyFill="1" applyBorder="1" applyAlignment="1">
      <alignment horizontal="center" vertical="center" wrapText="1"/>
    </xf>
    <xf numFmtId="189" fontId="13" fillId="0" borderId="0" xfId="1" applyNumberFormat="1" applyFont="1" applyFill="1" applyBorder="1" applyAlignment="1">
      <alignment horizontal="right" vertical="center" wrapText="1"/>
    </xf>
    <xf numFmtId="189" fontId="14" fillId="7" borderId="79" xfId="0" applyNumberFormat="1" applyFont="1" applyFill="1" applyBorder="1" applyAlignment="1">
      <alignment horizontal="center" vertical="center" wrapText="1"/>
    </xf>
    <xf numFmtId="189" fontId="21" fillId="8" borderId="81" xfId="1" applyNumberFormat="1" applyFont="1" applyFill="1" applyBorder="1" applyAlignment="1">
      <alignment horizontal="right" vertical="center" wrapText="1"/>
    </xf>
    <xf numFmtId="189" fontId="21" fillId="6" borderId="81" xfId="1" applyNumberFormat="1" applyFont="1" applyFill="1" applyBorder="1" applyAlignment="1">
      <alignment horizontal="right" vertical="center" wrapText="1"/>
    </xf>
    <xf numFmtId="189" fontId="21" fillId="0" borderId="81" xfId="1" applyNumberFormat="1" applyFont="1" applyFill="1" applyBorder="1" applyAlignment="1">
      <alignment horizontal="right" vertical="center" wrapText="1"/>
    </xf>
    <xf numFmtId="189" fontId="21" fillId="6" borderId="81" xfId="2" applyNumberFormat="1" applyFont="1" applyFill="1" applyBorder="1" applyAlignment="1">
      <alignment horizontal="right" vertical="center" wrapText="1"/>
    </xf>
    <xf numFmtId="189" fontId="21" fillId="8" borderId="82" xfId="1" applyNumberFormat="1" applyFont="1" applyFill="1" applyBorder="1" applyAlignment="1">
      <alignment horizontal="right" vertical="center" wrapText="1"/>
    </xf>
    <xf numFmtId="0" fontId="5" fillId="0" borderId="0" xfId="0" applyFont="1">
      <alignment vertical="center"/>
    </xf>
    <xf numFmtId="9" fontId="38" fillId="2" borderId="0" xfId="1" applyFont="1" applyFill="1" applyBorder="1" applyAlignment="1">
      <alignment horizontal="right" vertical="center" wrapText="1"/>
    </xf>
    <xf numFmtId="9" fontId="38" fillId="2" borderId="54" xfId="1" applyFont="1" applyFill="1" applyBorder="1" applyAlignment="1">
      <alignment horizontal="right" vertical="center" wrapText="1"/>
    </xf>
    <xf numFmtId="186" fontId="13" fillId="0" borderId="81" xfId="2" applyNumberFormat="1" applyFont="1" applyFill="1" applyBorder="1" applyAlignment="1">
      <alignment vertical="center" wrapText="1"/>
    </xf>
    <xf numFmtId="186" fontId="13" fillId="0" borderId="75" xfId="2" applyNumberFormat="1" applyFont="1" applyFill="1" applyBorder="1" applyAlignment="1">
      <alignment vertical="center" wrapText="1"/>
    </xf>
    <xf numFmtId="9" fontId="21" fillId="0" borderId="81" xfId="1" applyFont="1" applyFill="1" applyBorder="1" applyAlignment="1">
      <alignment vertical="center" wrapText="1"/>
    </xf>
    <xf numFmtId="186" fontId="19" fillId="8" borderId="74" xfId="2" applyNumberFormat="1" applyFont="1" applyFill="1" applyBorder="1" applyAlignment="1">
      <alignment vertical="center" wrapText="1"/>
    </xf>
    <xf numFmtId="186" fontId="19" fillId="8" borderId="79" xfId="2" applyNumberFormat="1" applyFont="1" applyFill="1" applyBorder="1" applyAlignment="1">
      <alignment vertical="center" wrapText="1"/>
    </xf>
    <xf numFmtId="186" fontId="19" fillId="6" borderId="76" xfId="2" applyNumberFormat="1" applyFont="1" applyFill="1" applyBorder="1" applyAlignment="1">
      <alignment vertical="center" wrapText="1"/>
    </xf>
    <xf numFmtId="186" fontId="19" fillId="6" borderId="82" xfId="2" applyNumberFormat="1" applyFont="1" applyFill="1" applyBorder="1" applyAlignment="1">
      <alignment vertical="center" wrapText="1"/>
    </xf>
    <xf numFmtId="186" fontId="19" fillId="8" borderId="77" xfId="2" applyNumberFormat="1" applyFont="1" applyFill="1" applyBorder="1" applyAlignment="1">
      <alignment vertical="center" wrapText="1"/>
    </xf>
    <xf numFmtId="9" fontId="21" fillId="8" borderId="98" xfId="1" applyFont="1" applyFill="1" applyBorder="1" applyAlignment="1">
      <alignment vertical="center" wrapText="1"/>
    </xf>
    <xf numFmtId="9" fontId="21" fillId="8" borderId="79" xfId="1" applyFont="1" applyFill="1" applyBorder="1" applyAlignment="1">
      <alignment vertical="center" wrapText="1"/>
    </xf>
    <xf numFmtId="186" fontId="13" fillId="0" borderId="80" xfId="2" applyNumberFormat="1" applyFont="1" applyFill="1" applyBorder="1" applyAlignment="1">
      <alignment vertical="center" wrapText="1"/>
    </xf>
    <xf numFmtId="186" fontId="19" fillId="6" borderId="78" xfId="2" applyNumberFormat="1" applyFont="1" applyFill="1" applyBorder="1" applyAlignment="1">
      <alignment vertical="center" wrapText="1"/>
    </xf>
    <xf numFmtId="9" fontId="21" fillId="6" borderId="99" xfId="1" applyFont="1" applyFill="1" applyBorder="1" applyAlignment="1">
      <alignment vertical="center" wrapText="1"/>
    </xf>
    <xf numFmtId="9" fontId="21" fillId="6" borderId="82" xfId="1" applyFont="1" applyFill="1" applyBorder="1" applyAlignment="1">
      <alignment vertical="center" wrapText="1"/>
    </xf>
    <xf numFmtId="9" fontId="21" fillId="8" borderId="100" xfId="1" applyFont="1" applyFill="1" applyBorder="1" applyAlignment="1">
      <alignment vertical="center" wrapText="1"/>
    </xf>
    <xf numFmtId="186" fontId="19" fillId="8" borderId="98" xfId="2" applyNumberFormat="1" applyFont="1" applyFill="1" applyBorder="1" applyAlignment="1">
      <alignment vertical="center" wrapText="1"/>
    </xf>
    <xf numFmtId="9" fontId="21" fillId="6" borderId="101" xfId="1" applyFont="1" applyFill="1" applyBorder="1" applyAlignment="1">
      <alignment vertical="center" wrapText="1"/>
    </xf>
    <xf numFmtId="186" fontId="19" fillId="6" borderId="99" xfId="2" applyNumberFormat="1" applyFont="1" applyFill="1" applyBorder="1" applyAlignment="1">
      <alignment vertical="center" wrapText="1"/>
    </xf>
    <xf numFmtId="176" fontId="13" fillId="0" borderId="0" xfId="2" applyNumberFormat="1" applyFont="1" applyFill="1" applyBorder="1" applyAlignment="1">
      <alignment horizontal="left" vertical="center"/>
    </xf>
    <xf numFmtId="9" fontId="50" fillId="0" borderId="0" xfId="1" applyFont="1" applyFill="1" applyBorder="1" applyAlignment="1">
      <alignment vertical="center" wrapText="1"/>
    </xf>
    <xf numFmtId="9" fontId="50" fillId="0" borderId="68" xfId="1" applyFont="1" applyFill="1" applyBorder="1" applyAlignment="1">
      <alignment vertical="center" wrapText="1"/>
    </xf>
    <xf numFmtId="9" fontId="51" fillId="0" borderId="0" xfId="1" applyFont="1" applyFill="1" applyBorder="1" applyAlignment="1">
      <alignment vertical="center" wrapText="1"/>
    </xf>
    <xf numFmtId="9" fontId="51" fillId="0" borderId="4" xfId="1" applyFont="1" applyFill="1" applyBorder="1" applyAlignment="1">
      <alignment vertical="center" wrapText="1"/>
    </xf>
    <xf numFmtId="178" fontId="21" fillId="13" borderId="51" xfId="1" applyNumberFormat="1" applyFont="1" applyFill="1" applyBorder="1" applyAlignment="1">
      <alignment vertical="center" wrapText="1"/>
    </xf>
    <xf numFmtId="178" fontId="21" fillId="13" borderId="54" xfId="1" applyNumberFormat="1" applyFont="1" applyFill="1" applyBorder="1" applyAlignment="1">
      <alignment vertical="center" wrapText="1"/>
    </xf>
    <xf numFmtId="41" fontId="13" fillId="13" borderId="3" xfId="2" applyFont="1" applyFill="1" applyBorder="1" applyAlignment="1">
      <alignment vertical="center" wrapText="1"/>
    </xf>
    <xf numFmtId="9" fontId="21" fillId="13" borderId="0" xfId="1" applyFont="1" applyFill="1" applyBorder="1" applyAlignment="1">
      <alignment vertical="center" wrapText="1"/>
    </xf>
    <xf numFmtId="9" fontId="21" fillId="13" borderId="68" xfId="1" applyFont="1" applyFill="1" applyBorder="1" applyAlignment="1">
      <alignment vertical="center" wrapText="1"/>
    </xf>
    <xf numFmtId="41" fontId="13" fillId="13" borderId="0" xfId="2" applyFont="1" applyFill="1" applyBorder="1" applyAlignment="1">
      <alignment vertical="center" wrapText="1"/>
    </xf>
    <xf numFmtId="9" fontId="21" fillId="13" borderId="4" xfId="1" applyFont="1" applyFill="1" applyBorder="1" applyAlignment="1">
      <alignment vertical="center" wrapText="1"/>
    </xf>
    <xf numFmtId="186" fontId="13" fillId="13" borderId="3" xfId="2" applyNumberFormat="1" applyFont="1" applyFill="1" applyBorder="1" applyAlignment="1">
      <alignment vertical="center" wrapText="1"/>
    </xf>
    <xf numFmtId="186" fontId="13" fillId="13" borderId="0" xfId="2" applyNumberFormat="1" applyFont="1" applyFill="1" applyBorder="1" applyAlignment="1">
      <alignment vertical="center" wrapText="1"/>
    </xf>
    <xf numFmtId="0" fontId="6" fillId="6" borderId="3" xfId="0" applyFont="1" applyFill="1" applyBorder="1">
      <alignment vertical="center"/>
    </xf>
    <xf numFmtId="0" fontId="6" fillId="6" borderId="4" xfId="0" applyFont="1" applyFill="1" applyBorder="1">
      <alignment vertical="center"/>
    </xf>
    <xf numFmtId="41" fontId="4" fillId="6" borderId="96" xfId="2" applyFont="1" applyFill="1" applyBorder="1" applyAlignment="1">
      <alignment horizontal="right" vertical="center" wrapText="1"/>
    </xf>
    <xf numFmtId="41" fontId="4" fillId="6" borderId="68" xfId="2" applyFont="1" applyFill="1" applyBorder="1" applyAlignment="1">
      <alignment horizontal="right" vertical="center" wrapText="1"/>
    </xf>
    <xf numFmtId="41" fontId="4" fillId="6" borderId="4" xfId="2" applyFont="1" applyFill="1" applyBorder="1" applyAlignment="1">
      <alignment horizontal="right" vertical="center" wrapText="1"/>
    </xf>
    <xf numFmtId="41" fontId="4" fillId="6" borderId="3" xfId="2" applyFont="1" applyFill="1" applyBorder="1" applyAlignment="1">
      <alignment horizontal="right" vertical="center" wrapText="1"/>
    </xf>
    <xf numFmtId="9" fontId="6" fillId="6" borderId="0" xfId="1" applyFont="1" applyFill="1" applyBorder="1" applyAlignment="1">
      <alignment horizontal="right" vertical="center" wrapText="1"/>
    </xf>
    <xf numFmtId="9" fontId="6" fillId="6" borderId="68" xfId="1" applyFont="1" applyFill="1" applyBorder="1" applyAlignment="1">
      <alignment horizontal="right" vertical="center" wrapText="1"/>
    </xf>
    <xf numFmtId="41" fontId="4" fillId="6" borderId="0" xfId="2" applyFont="1" applyFill="1" applyBorder="1" applyAlignment="1">
      <alignment horizontal="right" vertical="center" wrapText="1"/>
    </xf>
    <xf numFmtId="9" fontId="6" fillId="6" borderId="4" xfId="1" applyFont="1" applyFill="1" applyBorder="1" applyAlignment="1">
      <alignment horizontal="right" vertical="center" wrapText="1"/>
    </xf>
    <xf numFmtId="178" fontId="4" fillId="0" borderId="0" xfId="2" applyNumberFormat="1" applyFont="1" applyBorder="1" applyAlignment="1">
      <alignment vertical="center"/>
    </xf>
    <xf numFmtId="181" fontId="26" fillId="0" borderId="90" xfId="1" applyNumberFormat="1" applyFont="1" applyBorder="1" applyAlignment="1">
      <alignment horizontal="right" vertical="center" wrapText="1"/>
    </xf>
    <xf numFmtId="0" fontId="15" fillId="0" borderId="80" xfId="0" applyFont="1" applyBorder="1">
      <alignment vertical="center"/>
    </xf>
    <xf numFmtId="0" fontId="15" fillId="0" borderId="78" xfId="0" applyFont="1" applyBorder="1">
      <alignment vertical="center"/>
    </xf>
    <xf numFmtId="0" fontId="13" fillId="0" borderId="103" xfId="0" applyFont="1" applyBorder="1" applyAlignment="1">
      <alignment horizontal="center" vertical="center"/>
    </xf>
    <xf numFmtId="0" fontId="13" fillId="0" borderId="104" xfId="0" applyFont="1" applyBorder="1" applyAlignment="1">
      <alignment horizontal="center" vertical="center"/>
    </xf>
    <xf numFmtId="0" fontId="14" fillId="7" borderId="104" xfId="0" applyFont="1" applyFill="1" applyBorder="1" applyAlignment="1">
      <alignment horizontal="center" vertical="center" wrapText="1"/>
    </xf>
    <xf numFmtId="0" fontId="14" fillId="7" borderId="105" xfId="0" applyFont="1" applyFill="1" applyBorder="1" applyAlignment="1">
      <alignment horizontal="center" vertical="center" wrapText="1"/>
    </xf>
    <xf numFmtId="181" fontId="4" fillId="0" borderId="0" xfId="1" applyNumberFormat="1" applyFont="1" applyBorder="1" applyAlignment="1">
      <alignment horizontal="right" vertical="center" wrapText="1"/>
    </xf>
    <xf numFmtId="181" fontId="4" fillId="0" borderId="99" xfId="1" applyNumberFormat="1" applyFont="1" applyBorder="1" applyAlignment="1">
      <alignment horizontal="right" vertical="center" wrapText="1"/>
    </xf>
    <xf numFmtId="180" fontId="14" fillId="7" borderId="103" xfId="0" applyNumberFormat="1" applyFont="1" applyFill="1" applyBorder="1" applyAlignment="1">
      <alignment horizontal="center" vertical="center" wrapText="1"/>
    </xf>
    <xf numFmtId="181" fontId="4" fillId="0" borderId="81" xfId="1" applyNumberFormat="1" applyFont="1" applyBorder="1" applyAlignment="1">
      <alignment horizontal="right" vertical="center" wrapText="1"/>
    </xf>
    <xf numFmtId="181" fontId="4" fillId="0" borderId="82" xfId="1" applyNumberFormat="1" applyFont="1" applyBorder="1" applyAlignment="1">
      <alignment horizontal="right" vertical="center" wrapText="1"/>
    </xf>
    <xf numFmtId="9" fontId="22" fillId="0" borderId="99" xfId="1" applyFont="1" applyFill="1" applyBorder="1" applyAlignment="1">
      <alignment horizontal="right" vertical="center" wrapText="1"/>
    </xf>
    <xf numFmtId="9" fontId="22" fillId="0" borderId="82" xfId="1" applyFont="1" applyFill="1" applyBorder="1" applyAlignment="1">
      <alignment horizontal="right" vertical="center" wrapText="1"/>
    </xf>
    <xf numFmtId="0" fontId="4" fillId="0" borderId="0" xfId="0" applyFont="1" applyAlignment="1">
      <alignment horizontal="left" vertical="center"/>
    </xf>
    <xf numFmtId="186" fontId="4" fillId="8" borderId="79" xfId="2" applyNumberFormat="1" applyFont="1" applyFill="1" applyBorder="1" applyAlignment="1">
      <alignment vertical="center" wrapText="1"/>
    </xf>
    <xf numFmtId="186" fontId="4" fillId="8" borderId="77" xfId="2" applyNumberFormat="1" applyFont="1" applyFill="1" applyBorder="1" applyAlignment="1">
      <alignment vertical="center" wrapText="1"/>
    </xf>
    <xf numFmtId="9" fontId="6" fillId="8" borderId="98" xfId="1" applyFont="1" applyFill="1" applyBorder="1" applyAlignment="1">
      <alignment vertical="center" wrapText="1"/>
    </xf>
    <xf numFmtId="9" fontId="6" fillId="8" borderId="79" xfId="1" applyFont="1" applyFill="1" applyBorder="1" applyAlignment="1">
      <alignment vertical="center" wrapText="1"/>
    </xf>
    <xf numFmtId="186" fontId="13" fillId="0" borderId="78" xfId="2" applyNumberFormat="1" applyFont="1" applyFill="1" applyBorder="1" applyAlignment="1">
      <alignment vertical="center" wrapText="1"/>
    </xf>
    <xf numFmtId="186" fontId="13" fillId="0" borderId="76" xfId="2" applyNumberFormat="1" applyFont="1" applyFill="1" applyBorder="1" applyAlignment="1">
      <alignment vertical="center" wrapText="1"/>
    </xf>
    <xf numFmtId="0" fontId="4" fillId="0" borderId="99" xfId="0" applyFont="1" applyBorder="1" applyAlignment="1">
      <alignment horizontal="left" vertical="center"/>
    </xf>
    <xf numFmtId="180" fontId="14" fillId="7" borderId="106" xfId="0" applyNumberFormat="1" applyFont="1" applyFill="1" applyBorder="1" applyAlignment="1">
      <alignment horizontal="center" vertical="center" wrapText="1"/>
    </xf>
    <xf numFmtId="9" fontId="21" fillId="0" borderId="99" xfId="1" applyFont="1" applyFill="1" applyBorder="1" applyAlignment="1">
      <alignment vertical="center" wrapText="1"/>
    </xf>
    <xf numFmtId="9" fontId="21" fillId="0" borderId="82" xfId="1" applyFont="1" applyFill="1" applyBorder="1" applyAlignment="1">
      <alignment vertical="center" wrapText="1"/>
    </xf>
    <xf numFmtId="0" fontId="52" fillId="0" borderId="0" xfId="0" applyFont="1">
      <alignment vertical="center"/>
    </xf>
    <xf numFmtId="0" fontId="2" fillId="0" borderId="0" xfId="0" applyFont="1" applyAlignment="1">
      <alignment horizontal="center" vertical="center"/>
    </xf>
    <xf numFmtId="186" fontId="2" fillId="8" borderId="74" xfId="2" applyNumberFormat="1" applyFont="1" applyFill="1" applyBorder="1" applyAlignment="1">
      <alignment vertical="center" wrapText="1"/>
    </xf>
    <xf numFmtId="0" fontId="15" fillId="0" borderId="80" xfId="0" applyFont="1" applyBorder="1" applyAlignment="1">
      <alignment horizontal="center" vertical="center"/>
    </xf>
    <xf numFmtId="0" fontId="4" fillId="0" borderId="0" xfId="0" applyFont="1" applyAlignment="1">
      <alignment horizontal="center" vertical="center"/>
    </xf>
    <xf numFmtId="9" fontId="4" fillId="0" borderId="0" xfId="1" applyFont="1" applyBorder="1" applyAlignment="1">
      <alignment horizontal="right" vertical="center" wrapText="1"/>
    </xf>
    <xf numFmtId="9" fontId="4" fillId="0" borderId="81" xfId="1" applyFont="1" applyBorder="1" applyAlignment="1">
      <alignment horizontal="right" vertical="center" wrapText="1"/>
    </xf>
    <xf numFmtId="9" fontId="4" fillId="0" borderId="99" xfId="1" applyFont="1" applyBorder="1" applyAlignment="1">
      <alignment horizontal="right" vertical="center" wrapText="1"/>
    </xf>
    <xf numFmtId="9" fontId="4" fillId="0" borderId="82" xfId="1" applyFont="1" applyBorder="1" applyAlignment="1">
      <alignment horizontal="right" vertical="center" wrapText="1"/>
    </xf>
    <xf numFmtId="186" fontId="4" fillId="0" borderId="78" xfId="2" applyNumberFormat="1" applyFont="1" applyFill="1" applyBorder="1" applyAlignment="1">
      <alignment vertical="center" wrapText="1"/>
    </xf>
    <xf numFmtId="186" fontId="4" fillId="0" borderId="76" xfId="2" applyNumberFormat="1" applyFont="1" applyFill="1" applyBorder="1" applyAlignment="1">
      <alignment vertical="center" wrapText="1"/>
    </xf>
    <xf numFmtId="9" fontId="4" fillId="0" borderId="99" xfId="1" applyFont="1" applyFill="1" applyBorder="1" applyAlignment="1">
      <alignment horizontal="right" vertical="center" wrapText="1"/>
    </xf>
    <xf numFmtId="9" fontId="4" fillId="0" borderId="82" xfId="1" applyFont="1" applyFill="1" applyBorder="1" applyAlignment="1">
      <alignment horizontal="right" vertical="center" wrapText="1"/>
    </xf>
    <xf numFmtId="0" fontId="42" fillId="6" borderId="77" xfId="0" applyFont="1" applyFill="1" applyBorder="1">
      <alignment vertical="center"/>
    </xf>
    <xf numFmtId="0" fontId="4" fillId="6" borderId="98" xfId="0" applyFont="1" applyFill="1" applyBorder="1" applyAlignment="1">
      <alignment horizontal="left" vertical="center"/>
    </xf>
    <xf numFmtId="186" fontId="19" fillId="6" borderId="77" xfId="2" applyNumberFormat="1" applyFont="1" applyFill="1" applyBorder="1" applyAlignment="1">
      <alignment vertical="center" wrapText="1"/>
    </xf>
    <xf numFmtId="186" fontId="19" fillId="6" borderId="74" xfId="2" applyNumberFormat="1" applyFont="1" applyFill="1" applyBorder="1" applyAlignment="1">
      <alignment vertical="center" wrapText="1"/>
    </xf>
    <xf numFmtId="9" fontId="18" fillId="6" borderId="98" xfId="1" applyFont="1" applyFill="1" applyBorder="1" applyAlignment="1">
      <alignment horizontal="right" vertical="center" wrapText="1"/>
    </xf>
    <xf numFmtId="9" fontId="18" fillId="6" borderId="79" xfId="1" applyFont="1" applyFill="1" applyBorder="1" applyAlignment="1">
      <alignment horizontal="right" vertical="center" wrapText="1"/>
    </xf>
    <xf numFmtId="9" fontId="22" fillId="6" borderId="0" xfId="1" applyFont="1" applyFill="1" applyBorder="1" applyAlignment="1">
      <alignment horizontal="right" vertical="center" wrapText="1"/>
    </xf>
    <xf numFmtId="9" fontId="22" fillId="6" borderId="81" xfId="1" applyFont="1" applyFill="1" applyBorder="1" applyAlignment="1">
      <alignment horizontal="right" vertical="center" wrapText="1"/>
    </xf>
    <xf numFmtId="186" fontId="19" fillId="6" borderId="80" xfId="2" applyNumberFormat="1" applyFont="1" applyFill="1" applyBorder="1" applyAlignment="1">
      <alignment vertical="center" wrapText="1"/>
    </xf>
    <xf numFmtId="0" fontId="42" fillId="6" borderId="77" xfId="0" applyFont="1" applyFill="1" applyBorder="1" applyAlignment="1">
      <alignment horizontal="center" vertical="center"/>
    </xf>
    <xf numFmtId="181" fontId="18" fillId="6" borderId="98" xfId="1" applyNumberFormat="1" applyFont="1" applyFill="1" applyBorder="1" applyAlignment="1">
      <alignment horizontal="right" vertical="center" wrapText="1"/>
    </xf>
    <xf numFmtId="181" fontId="18" fillId="6" borderId="79" xfId="1" applyNumberFormat="1" applyFont="1" applyFill="1" applyBorder="1" applyAlignment="1">
      <alignment horizontal="right" vertical="center" wrapText="1"/>
    </xf>
    <xf numFmtId="9" fontId="4" fillId="0" borderId="0" xfId="1" applyFont="1" applyFill="1" applyBorder="1" applyAlignment="1">
      <alignment horizontal="right" vertical="center" wrapText="1"/>
    </xf>
    <xf numFmtId="9" fontId="4" fillId="0" borderId="81" xfId="1" applyFont="1" applyFill="1" applyBorder="1" applyAlignment="1">
      <alignment horizontal="right" vertical="center" wrapText="1"/>
    </xf>
    <xf numFmtId="186" fontId="4" fillId="0" borderId="80" xfId="2" applyNumberFormat="1" applyFont="1" applyFill="1" applyBorder="1" applyAlignment="1">
      <alignment vertical="center" wrapText="1"/>
    </xf>
    <xf numFmtId="186" fontId="4" fillId="0" borderId="75" xfId="2" applyNumberFormat="1" applyFont="1" applyFill="1" applyBorder="1" applyAlignment="1">
      <alignment vertical="center" wrapText="1"/>
    </xf>
    <xf numFmtId="9" fontId="22" fillId="6" borderId="98" xfId="1" applyFont="1" applyFill="1" applyBorder="1" applyAlignment="1">
      <alignment horizontal="right" vertical="center" wrapText="1"/>
    </xf>
    <xf numFmtId="9" fontId="22" fillId="6" borderId="79" xfId="1" applyFont="1" applyFill="1" applyBorder="1" applyAlignment="1">
      <alignment horizontal="right" vertical="center" wrapText="1"/>
    </xf>
    <xf numFmtId="186" fontId="13" fillId="0" borderId="99" xfId="2" applyNumberFormat="1" applyFont="1" applyFill="1" applyBorder="1" applyAlignment="1">
      <alignment vertical="center" wrapText="1"/>
    </xf>
    <xf numFmtId="0" fontId="15" fillId="0" borderId="78" xfId="0" applyFont="1" applyBorder="1" applyAlignment="1">
      <alignment horizontal="center" vertical="center"/>
    </xf>
    <xf numFmtId="9" fontId="13" fillId="0" borderId="99" xfId="1" applyFont="1" applyFill="1" applyBorder="1" applyAlignment="1">
      <alignment vertical="center" wrapText="1"/>
    </xf>
    <xf numFmtId="41" fontId="13" fillId="0" borderId="99" xfId="2" applyFont="1" applyFill="1" applyBorder="1" applyAlignment="1">
      <alignment vertical="center" wrapText="1"/>
    </xf>
    <xf numFmtId="9" fontId="21" fillId="0" borderId="101" xfId="1" applyFont="1" applyFill="1" applyBorder="1" applyAlignment="1">
      <alignment vertical="center" wrapText="1"/>
    </xf>
    <xf numFmtId="0" fontId="2" fillId="0" borderId="0" xfId="0" applyFont="1" applyAlignment="1">
      <alignment horizontal="left" vertical="center"/>
    </xf>
    <xf numFmtId="9" fontId="2" fillId="0" borderId="0" xfId="1" applyFont="1" applyFill="1" applyBorder="1" applyAlignment="1">
      <alignment vertical="center" wrapText="1"/>
    </xf>
    <xf numFmtId="41" fontId="2" fillId="0" borderId="0" xfId="2" applyFont="1" applyFill="1" applyBorder="1" applyAlignment="1">
      <alignment vertical="center" wrapText="1"/>
    </xf>
    <xf numFmtId="186" fontId="2" fillId="8" borderId="77" xfId="2" applyNumberFormat="1" applyFont="1" applyFill="1" applyBorder="1" applyAlignment="1">
      <alignment vertical="center" wrapText="1"/>
    </xf>
    <xf numFmtId="9" fontId="5" fillId="8" borderId="98" xfId="1" applyFont="1" applyFill="1" applyBorder="1" applyAlignment="1">
      <alignment vertical="center" wrapText="1"/>
    </xf>
    <xf numFmtId="9" fontId="5" fillId="8" borderId="79" xfId="1" applyFont="1" applyFill="1" applyBorder="1" applyAlignment="1">
      <alignment vertical="center" wrapText="1"/>
    </xf>
    <xf numFmtId="9" fontId="5" fillId="8" borderId="100" xfId="1" applyFont="1" applyFill="1" applyBorder="1" applyAlignment="1">
      <alignment vertical="center" wrapText="1"/>
    </xf>
    <xf numFmtId="186" fontId="2" fillId="8" borderId="98" xfId="2" applyNumberFormat="1" applyFont="1" applyFill="1" applyBorder="1" applyAlignment="1">
      <alignment vertical="center" wrapText="1"/>
    </xf>
    <xf numFmtId="9" fontId="53" fillId="0" borderId="81" xfId="1" applyFont="1" applyFill="1" applyBorder="1" applyAlignment="1">
      <alignment horizontal="right" vertical="center" wrapText="1"/>
    </xf>
    <xf numFmtId="9" fontId="53" fillId="0" borderId="82" xfId="1" applyFont="1" applyFill="1" applyBorder="1" applyAlignment="1">
      <alignment horizontal="right" vertical="center" wrapText="1"/>
    </xf>
    <xf numFmtId="9" fontId="18" fillId="6" borderId="81" xfId="1" applyFont="1" applyFill="1" applyBorder="1" applyAlignment="1">
      <alignment horizontal="right" vertical="center" wrapText="1"/>
    </xf>
    <xf numFmtId="0" fontId="21" fillId="0" borderId="104" xfId="0" applyFont="1" applyBorder="1" applyAlignment="1">
      <alignment horizontal="center" vertical="center"/>
    </xf>
    <xf numFmtId="0" fontId="4" fillId="6" borderId="0" xfId="0" applyFont="1" applyFill="1" applyAlignment="1">
      <alignment horizontal="left" vertical="center"/>
    </xf>
    <xf numFmtId="0" fontId="5" fillId="0" borderId="106" xfId="0" applyFont="1" applyBorder="1" applyAlignment="1">
      <alignment horizontal="center" vertical="center" wrapText="1"/>
    </xf>
    <xf numFmtId="0" fontId="5" fillId="0" borderId="105" xfId="0" applyFont="1" applyBorder="1" applyAlignment="1">
      <alignment horizontal="center" vertical="center" wrapText="1"/>
    </xf>
    <xf numFmtId="186" fontId="26" fillId="6" borderId="80" xfId="2" applyNumberFormat="1" applyFont="1" applyFill="1" applyBorder="1" applyAlignment="1">
      <alignment horizontal="right" vertical="center" wrapText="1"/>
    </xf>
    <xf numFmtId="186" fontId="4" fillId="0" borderId="80" xfId="2" applyNumberFormat="1" applyFont="1" applyBorder="1" applyAlignment="1">
      <alignment horizontal="right" vertical="center" wrapText="1"/>
    </xf>
    <xf numFmtId="186" fontId="4" fillId="0" borderId="78" xfId="2" applyNumberFormat="1" applyFont="1" applyBorder="1" applyAlignment="1">
      <alignment horizontal="right" vertical="center" wrapText="1"/>
    </xf>
    <xf numFmtId="186" fontId="13" fillId="0" borderId="0" xfId="0" applyNumberFormat="1" applyFont="1" applyAlignment="1">
      <alignment horizontal="right" vertical="center" wrapText="1"/>
    </xf>
    <xf numFmtId="41" fontId="19" fillId="8" borderId="0" xfId="2" applyFont="1" applyFill="1" applyBorder="1" applyAlignment="1">
      <alignment vertical="center"/>
    </xf>
    <xf numFmtId="41" fontId="19" fillId="6" borderId="0" xfId="2" applyFont="1" applyFill="1" applyBorder="1" applyAlignment="1">
      <alignment vertical="center"/>
    </xf>
    <xf numFmtId="41" fontId="13" fillId="0" borderId="0" xfId="2" applyFont="1" applyFill="1" applyBorder="1" applyAlignment="1">
      <alignment vertical="center"/>
    </xf>
    <xf numFmtId="41" fontId="19" fillId="8" borderId="48" xfId="2" applyFont="1" applyFill="1" applyBorder="1" applyAlignment="1">
      <alignment vertical="center"/>
    </xf>
    <xf numFmtId="186" fontId="19" fillId="8" borderId="79" xfId="2" applyNumberFormat="1" applyFont="1" applyFill="1" applyBorder="1" applyAlignment="1">
      <alignment vertical="center"/>
    </xf>
    <xf numFmtId="186" fontId="13" fillId="0" borderId="81" xfId="2" applyNumberFormat="1" applyFont="1" applyFill="1" applyBorder="1" applyAlignment="1">
      <alignment vertical="center"/>
    </xf>
    <xf numFmtId="186" fontId="19" fillId="6" borderId="82" xfId="2" applyNumberFormat="1" applyFont="1" applyFill="1" applyBorder="1" applyAlignment="1">
      <alignment vertical="center"/>
    </xf>
    <xf numFmtId="186" fontId="2" fillId="8" borderId="79" xfId="2" applyNumberFormat="1" applyFont="1" applyFill="1" applyBorder="1" applyAlignment="1">
      <alignment vertical="center"/>
    </xf>
    <xf numFmtId="186" fontId="13" fillId="0" borderId="82" xfId="2" applyNumberFormat="1" applyFont="1" applyFill="1" applyBorder="1" applyAlignment="1">
      <alignment vertical="center"/>
    </xf>
    <xf numFmtId="186" fontId="2" fillId="8" borderId="74" xfId="2" applyNumberFormat="1" applyFont="1" applyFill="1" applyBorder="1" applyAlignment="1">
      <alignment vertical="center"/>
    </xf>
    <xf numFmtId="0" fontId="6" fillId="8" borderId="109" xfId="0" applyFont="1" applyFill="1" applyBorder="1">
      <alignment vertical="center"/>
    </xf>
    <xf numFmtId="0" fontId="6" fillId="8" borderId="110" xfId="0" applyFont="1" applyFill="1" applyBorder="1">
      <alignment vertical="center"/>
    </xf>
    <xf numFmtId="41" fontId="4" fillId="8" borderId="108" xfId="2" applyFont="1" applyFill="1" applyBorder="1" applyAlignment="1">
      <alignment horizontal="right" vertical="center" wrapText="1"/>
    </xf>
    <xf numFmtId="41" fontId="4" fillId="8" borderId="101" xfId="2" applyFont="1" applyFill="1" applyBorder="1" applyAlignment="1">
      <alignment horizontal="right" vertical="center" wrapText="1"/>
    </xf>
    <xf numFmtId="41" fontId="4" fillId="8" borderId="110" xfId="2" applyFont="1" applyFill="1" applyBorder="1" applyAlignment="1">
      <alignment horizontal="right" vertical="center" wrapText="1"/>
    </xf>
    <xf numFmtId="41" fontId="4" fillId="8" borderId="109" xfId="2" applyFont="1" applyFill="1" applyBorder="1" applyAlignment="1">
      <alignment horizontal="right" vertical="center" wrapText="1"/>
    </xf>
    <xf numFmtId="9" fontId="6" fillId="8" borderId="99" xfId="1" applyFont="1" applyFill="1" applyBorder="1" applyAlignment="1">
      <alignment horizontal="right" vertical="center" wrapText="1"/>
    </xf>
    <xf numFmtId="9" fontId="6" fillId="8" borderId="101" xfId="1" applyFont="1" applyFill="1" applyBorder="1" applyAlignment="1">
      <alignment horizontal="right" vertical="center" wrapText="1"/>
    </xf>
    <xf numFmtId="41" fontId="4" fillId="8" borderId="99" xfId="2" applyFont="1" applyFill="1" applyBorder="1" applyAlignment="1">
      <alignment horizontal="right" vertical="center" wrapText="1"/>
    </xf>
    <xf numFmtId="9" fontId="6" fillId="8" borderId="110" xfId="1" applyFont="1" applyFill="1" applyBorder="1" applyAlignment="1">
      <alignment horizontal="right" vertical="center" wrapText="1"/>
    </xf>
    <xf numFmtId="41" fontId="4" fillId="8" borderId="6" xfId="2" applyFont="1" applyFill="1" applyBorder="1" applyAlignment="1">
      <alignment horizontal="right" vertical="center" wrapText="1"/>
    </xf>
    <xf numFmtId="9" fontId="6" fillId="8" borderId="1" xfId="1" applyFont="1" applyFill="1" applyBorder="1" applyAlignment="1">
      <alignment horizontal="right" vertical="center" wrapText="1"/>
    </xf>
    <xf numFmtId="9" fontId="6" fillId="8" borderId="70" xfId="1" applyFont="1" applyFill="1" applyBorder="1" applyAlignment="1">
      <alignment horizontal="right" vertical="center" wrapText="1"/>
    </xf>
    <xf numFmtId="41" fontId="4" fillId="8" borderId="1" xfId="2" applyFont="1" applyFill="1" applyBorder="1" applyAlignment="1">
      <alignment horizontal="right" vertical="center" wrapText="1"/>
    </xf>
    <xf numFmtId="9" fontId="6" fillId="8" borderId="7" xfId="1" applyFont="1" applyFill="1" applyBorder="1" applyAlignment="1">
      <alignment horizontal="right" vertical="center" wrapText="1"/>
    </xf>
    <xf numFmtId="186" fontId="13" fillId="0" borderId="111" xfId="2" applyNumberFormat="1" applyFont="1" applyFill="1" applyBorder="1" applyAlignment="1">
      <alignment vertical="center" wrapText="1"/>
    </xf>
    <xf numFmtId="180" fontId="14" fillId="7" borderId="49" xfId="0" applyNumberFormat="1" applyFont="1" applyFill="1" applyBorder="1" applyAlignment="1">
      <alignment horizontal="center" vertical="center" wrapText="1"/>
    </xf>
    <xf numFmtId="180" fontId="19" fillId="2" borderId="4" xfId="2" applyNumberFormat="1" applyFont="1" applyFill="1" applyBorder="1" applyAlignment="1">
      <alignment horizontal="right" vertical="center" wrapText="1"/>
    </xf>
    <xf numFmtId="184" fontId="21" fillId="0" borderId="4" xfId="2" applyNumberFormat="1" applyFont="1" applyFill="1" applyBorder="1" applyAlignment="1">
      <alignment horizontal="right" vertical="center" wrapText="1"/>
    </xf>
    <xf numFmtId="181" fontId="23" fillId="0" borderId="4" xfId="1" applyNumberFormat="1" applyFont="1" applyFill="1" applyBorder="1" applyAlignment="1">
      <alignment horizontal="right" vertical="center" wrapText="1"/>
    </xf>
    <xf numFmtId="180" fontId="19" fillId="2" borderId="4" xfId="0" applyNumberFormat="1" applyFont="1" applyFill="1" applyBorder="1" applyAlignment="1">
      <alignment horizontal="right" vertical="center" wrapText="1"/>
    </xf>
    <xf numFmtId="181" fontId="38" fillId="2" borderId="4" xfId="1" applyNumberFormat="1" applyFont="1" applyFill="1" applyBorder="1" applyAlignment="1">
      <alignment horizontal="right" vertical="center" wrapText="1"/>
    </xf>
    <xf numFmtId="184" fontId="21" fillId="0" borderId="4" xfId="1" applyNumberFormat="1" applyFont="1" applyFill="1" applyBorder="1" applyAlignment="1">
      <alignment horizontal="right" vertical="center" wrapText="1"/>
    </xf>
    <xf numFmtId="184" fontId="6" fillId="2" borderId="4" xfId="0" applyNumberFormat="1" applyFont="1" applyFill="1" applyBorder="1" applyAlignment="1">
      <alignment horizontal="right" vertical="center" wrapText="1"/>
    </xf>
    <xf numFmtId="184" fontId="4" fillId="0" borderId="4" xfId="0" applyNumberFormat="1" applyFont="1" applyBorder="1" applyAlignment="1">
      <alignment horizontal="right" vertical="center" wrapText="1"/>
    </xf>
    <xf numFmtId="184" fontId="19" fillId="2" borderId="4" xfId="0" applyNumberFormat="1" applyFont="1" applyFill="1" applyBorder="1" applyAlignment="1">
      <alignment horizontal="right" vertical="center" wrapText="1"/>
    </xf>
    <xf numFmtId="180" fontId="13" fillId="0" borderId="4" xfId="2" applyNumberFormat="1" applyFont="1" applyFill="1" applyBorder="1" applyAlignment="1">
      <alignment horizontal="right" vertical="center" wrapText="1"/>
    </xf>
    <xf numFmtId="181" fontId="38" fillId="2" borderId="7" xfId="1" applyNumberFormat="1" applyFont="1" applyFill="1" applyBorder="1" applyAlignment="1">
      <alignment horizontal="right" vertical="center" wrapText="1"/>
    </xf>
    <xf numFmtId="41" fontId="4" fillId="8" borderId="112" xfId="2" applyFont="1" applyFill="1" applyBorder="1" applyAlignment="1">
      <alignment horizontal="right" vertical="center" wrapText="1"/>
    </xf>
    <xf numFmtId="41" fontId="4" fillId="8" borderId="70" xfId="2" applyFont="1" applyFill="1" applyBorder="1" applyAlignment="1">
      <alignment horizontal="right" vertical="center" wrapText="1"/>
    </xf>
    <xf numFmtId="41" fontId="4" fillId="8" borderId="113" xfId="2" applyFont="1" applyFill="1" applyBorder="1" applyAlignment="1">
      <alignment horizontal="right" vertical="center" wrapText="1"/>
    </xf>
    <xf numFmtId="0" fontId="32" fillId="0" borderId="8" xfId="0" applyFont="1" applyBorder="1" applyAlignment="1">
      <alignment horizontal="center" vertical="center" wrapText="1" readingOrder="1"/>
    </xf>
    <xf numFmtId="0" fontId="12" fillId="7" borderId="57" xfId="0" applyFont="1" applyFill="1" applyBorder="1" applyAlignment="1">
      <alignment horizontal="center" vertical="center" wrapText="1"/>
    </xf>
    <xf numFmtId="181" fontId="16" fillId="0" borderId="0" xfId="1" applyNumberFormat="1" applyFont="1">
      <alignment vertical="center"/>
    </xf>
    <xf numFmtId="42" fontId="55" fillId="0" borderId="0" xfId="3" applyFont="1" applyAlignment="1">
      <alignment horizontal="left" vertical="center"/>
    </xf>
    <xf numFmtId="0" fontId="42" fillId="6" borderId="80" xfId="0" applyFont="1" applyFill="1" applyBorder="1">
      <alignment vertical="center"/>
    </xf>
    <xf numFmtId="186" fontId="19" fillId="6" borderId="75" xfId="2" applyNumberFormat="1" applyFont="1" applyFill="1" applyBorder="1" applyAlignment="1">
      <alignment vertical="center" wrapText="1"/>
    </xf>
    <xf numFmtId="9" fontId="4" fillId="6" borderId="0" xfId="1" applyFont="1" applyFill="1" applyBorder="1" applyAlignment="1">
      <alignment horizontal="right" vertical="center" wrapText="1"/>
    </xf>
    <xf numFmtId="9" fontId="4" fillId="6" borderId="81" xfId="1" applyFont="1" applyFill="1" applyBorder="1" applyAlignment="1">
      <alignment horizontal="right" vertical="center" wrapText="1"/>
    </xf>
    <xf numFmtId="9" fontId="42" fillId="5" borderId="9" xfId="1" applyFont="1" applyFill="1" applyBorder="1" applyAlignment="1">
      <alignment horizontal="right" vertical="center" wrapText="1" readingOrder="1"/>
    </xf>
    <xf numFmtId="190" fontId="42" fillId="5" borderId="9" xfId="0" applyNumberFormat="1" applyFont="1" applyFill="1" applyBorder="1" applyAlignment="1">
      <alignment horizontal="right" vertical="center" wrapText="1" readingOrder="1"/>
    </xf>
    <xf numFmtId="190" fontId="15" fillId="8" borderId="9" xfId="0" applyNumberFormat="1" applyFont="1" applyFill="1" applyBorder="1" applyAlignment="1">
      <alignment horizontal="right" vertical="center" wrapText="1" readingOrder="1"/>
    </xf>
    <xf numFmtId="190" fontId="15" fillId="8" borderId="10" xfId="0" applyNumberFormat="1" applyFont="1" applyFill="1" applyBorder="1" applyAlignment="1">
      <alignment horizontal="right" vertical="center" wrapText="1" readingOrder="1"/>
    </xf>
    <xf numFmtId="190" fontId="42" fillId="6" borderId="9" xfId="0" applyNumberFormat="1" applyFont="1" applyFill="1" applyBorder="1" applyAlignment="1">
      <alignment horizontal="right" vertical="center" wrapText="1" readingOrder="1"/>
    </xf>
    <xf numFmtId="190" fontId="15" fillId="0" borderId="9" xfId="0" applyNumberFormat="1" applyFont="1" applyBorder="1" applyAlignment="1">
      <alignment horizontal="right" vertical="center" wrapText="1" readingOrder="1"/>
    </xf>
    <xf numFmtId="9" fontId="4" fillId="0" borderId="0" xfId="1" applyFont="1">
      <alignment vertical="center"/>
    </xf>
    <xf numFmtId="41" fontId="19" fillId="0" borderId="0" xfId="0" applyNumberFormat="1" applyFont="1">
      <alignment vertical="center"/>
    </xf>
    <xf numFmtId="181" fontId="13" fillId="0" borderId="0" xfId="1" applyNumberFormat="1" applyFont="1" applyFill="1" applyBorder="1" applyAlignment="1">
      <alignment horizontal="right" vertical="center"/>
    </xf>
    <xf numFmtId="181" fontId="6" fillId="8" borderId="99" xfId="1" applyNumberFormat="1" applyFont="1" applyFill="1" applyBorder="1" applyAlignment="1">
      <alignment horizontal="right" vertical="center" wrapText="1"/>
    </xf>
    <xf numFmtId="181" fontId="13" fillId="0" borderId="0" xfId="0" applyNumberFormat="1" applyFont="1">
      <alignment vertical="center"/>
    </xf>
    <xf numFmtId="0" fontId="56" fillId="0" borderId="9" xfId="0" applyFont="1" applyBorder="1" applyAlignment="1">
      <alignment vertical="center" wrapText="1" readingOrder="1"/>
    </xf>
    <xf numFmtId="0" fontId="42" fillId="0" borderId="9" xfId="0" applyFont="1" applyBorder="1" applyAlignment="1">
      <alignment vertical="center" wrapText="1" readingOrder="1"/>
    </xf>
    <xf numFmtId="0" fontId="15" fillId="0" borderId="9" xfId="0" applyFont="1" applyBorder="1" applyAlignment="1">
      <alignment vertical="center" wrapText="1" readingOrder="1"/>
    </xf>
    <xf numFmtId="181" fontId="15" fillId="0" borderId="9" xfId="0" applyNumberFormat="1" applyFont="1" applyBorder="1" applyAlignment="1">
      <alignment vertical="center" wrapText="1" readingOrder="1"/>
    </xf>
    <xf numFmtId="0" fontId="43" fillId="0" borderId="9" xfId="0" applyFont="1" applyBorder="1" applyAlignment="1">
      <alignment horizontal="center" vertical="center" wrapText="1"/>
    </xf>
    <xf numFmtId="181" fontId="43" fillId="0" borderId="9" xfId="0" applyNumberFormat="1" applyFont="1" applyBorder="1" applyAlignment="1">
      <alignment horizontal="center" vertical="center" wrapText="1"/>
    </xf>
    <xf numFmtId="0" fontId="35" fillId="0" borderId="18" xfId="0" applyFont="1" applyBorder="1" applyAlignment="1">
      <alignment horizontal="left" vertical="center" readingOrder="1"/>
    </xf>
    <xf numFmtId="0" fontId="34" fillId="0" borderId="43" xfId="0" applyFont="1" applyBorder="1">
      <alignment vertical="center"/>
    </xf>
    <xf numFmtId="180" fontId="15" fillId="0" borderId="19" xfId="0" applyNumberFormat="1" applyFont="1" applyBorder="1" applyAlignment="1">
      <alignment horizontal="right" vertical="center" wrapText="1" readingOrder="1"/>
    </xf>
    <xf numFmtId="0" fontId="34" fillId="0" borderId="114" xfId="0" applyFont="1" applyBorder="1">
      <alignment vertical="center"/>
    </xf>
    <xf numFmtId="176" fontId="19" fillId="2" borderId="47" xfId="2" applyNumberFormat="1" applyFont="1" applyFill="1" applyBorder="1" applyAlignment="1">
      <alignment horizontal="center" vertical="center" shrinkToFit="1"/>
    </xf>
    <xf numFmtId="41" fontId="2" fillId="14" borderId="102" xfId="2" applyFont="1" applyFill="1" applyBorder="1" applyAlignment="1">
      <alignment vertical="center" shrinkToFit="1"/>
    </xf>
    <xf numFmtId="41" fontId="2" fillId="14" borderId="90" xfId="2" applyFont="1" applyFill="1" applyBorder="1" applyAlignment="1">
      <alignment vertical="center" shrinkToFit="1"/>
    </xf>
    <xf numFmtId="41" fontId="2" fillId="14" borderId="115" xfId="2" applyFont="1" applyFill="1" applyBorder="1" applyAlignment="1">
      <alignment vertical="center" shrinkToFit="1"/>
    </xf>
    <xf numFmtId="9" fontId="26" fillId="0" borderId="90" xfId="1" applyFont="1" applyBorder="1" applyAlignment="1">
      <alignment horizontal="center" vertical="center"/>
    </xf>
    <xf numFmtId="41" fontId="2" fillId="14" borderId="116" xfId="2" applyFont="1" applyFill="1" applyBorder="1" applyAlignment="1">
      <alignment vertical="center" shrinkToFit="1"/>
    </xf>
    <xf numFmtId="41" fontId="2" fillId="14" borderId="117" xfId="2" applyFont="1" applyFill="1" applyBorder="1" applyAlignment="1">
      <alignment vertical="center" shrinkToFit="1"/>
    </xf>
    <xf numFmtId="41" fontId="2" fillId="14" borderId="118" xfId="2" applyFont="1" applyFill="1" applyBorder="1" applyAlignment="1">
      <alignment vertical="center" shrinkToFit="1"/>
    </xf>
    <xf numFmtId="176" fontId="4" fillId="0" borderId="116" xfId="2" applyNumberFormat="1" applyFont="1" applyFill="1" applyBorder="1" applyAlignment="1">
      <alignment vertical="center" shrinkToFit="1"/>
    </xf>
    <xf numFmtId="176" fontId="4" fillId="0" borderId="117" xfId="2" applyNumberFormat="1" applyFont="1" applyFill="1" applyBorder="1" applyAlignment="1">
      <alignment vertical="center" shrinkToFit="1"/>
    </xf>
    <xf numFmtId="180" fontId="12" fillId="7" borderId="57" xfId="0" applyNumberFormat="1" applyFont="1" applyFill="1" applyBorder="1" applyAlignment="1">
      <alignment horizontal="center" vertical="center" wrapText="1"/>
    </xf>
    <xf numFmtId="186" fontId="19" fillId="8" borderId="119" xfId="2" applyNumberFormat="1" applyFont="1" applyFill="1" applyBorder="1" applyAlignment="1">
      <alignment vertical="center" wrapText="1"/>
    </xf>
    <xf numFmtId="186" fontId="13" fillId="0" borderId="102" xfId="2" applyNumberFormat="1" applyFont="1" applyFill="1" applyBorder="1" applyAlignment="1">
      <alignment vertical="center" wrapText="1"/>
    </xf>
    <xf numFmtId="186" fontId="19" fillId="6" borderId="111" xfId="2" applyNumberFormat="1" applyFont="1" applyFill="1" applyBorder="1" applyAlignment="1">
      <alignment vertical="center" wrapText="1"/>
    </xf>
    <xf numFmtId="186" fontId="2" fillId="8" borderId="119" xfId="2" applyNumberFormat="1" applyFont="1" applyFill="1" applyBorder="1" applyAlignment="1">
      <alignment vertical="center" wrapText="1"/>
    </xf>
    <xf numFmtId="0" fontId="10" fillId="0" borderId="9" xfId="0" applyFont="1" applyBorder="1" applyAlignment="1">
      <alignment horizontal="center" vertical="center" wrapText="1" readingOrder="1"/>
    </xf>
    <xf numFmtId="183" fontId="15" fillId="0" borderId="9" xfId="0" applyNumberFormat="1" applyFont="1" applyBorder="1" applyAlignment="1">
      <alignment horizontal="right" vertical="center" wrapText="1" readingOrder="1"/>
    </xf>
    <xf numFmtId="0" fontId="9" fillId="0" borderId="9" xfId="0" applyFont="1" applyBorder="1" applyAlignment="1">
      <alignment horizontal="center" vertical="center" wrapText="1" readingOrder="1"/>
    </xf>
    <xf numFmtId="181" fontId="44" fillId="0" borderId="9" xfId="0" applyNumberFormat="1" applyFont="1" applyBorder="1" applyAlignment="1">
      <alignment horizontal="right" vertical="center" wrapText="1" readingOrder="1"/>
    </xf>
    <xf numFmtId="187" fontId="44" fillId="0" borderId="9" xfId="0" applyNumberFormat="1" applyFont="1" applyBorder="1" applyAlignment="1">
      <alignment horizontal="right" vertical="center" wrapText="1" readingOrder="1"/>
    </xf>
    <xf numFmtId="0" fontId="9" fillId="0" borderId="11" xfId="0" applyFont="1" applyBorder="1" applyAlignment="1">
      <alignment horizontal="center" vertical="center" wrapText="1" readingOrder="1"/>
    </xf>
    <xf numFmtId="181" fontId="44" fillId="0" borderId="11" xfId="0" applyNumberFormat="1" applyFont="1" applyBorder="1" applyAlignment="1">
      <alignment horizontal="right" vertical="center" wrapText="1" readingOrder="1"/>
    </xf>
    <xf numFmtId="187" fontId="44" fillId="0" borderId="11" xfId="0" applyNumberFormat="1" applyFont="1" applyBorder="1" applyAlignment="1">
      <alignment horizontal="right" vertical="center" wrapText="1" readingOrder="1"/>
    </xf>
    <xf numFmtId="0" fontId="58" fillId="0" borderId="9" xfId="0" applyFont="1" applyBorder="1" applyAlignment="1">
      <alignment horizontal="center" vertical="center" wrapText="1" readingOrder="1"/>
    </xf>
    <xf numFmtId="176" fontId="19" fillId="2" borderId="80" xfId="2" applyNumberFormat="1" applyFont="1" applyFill="1" applyBorder="1" applyAlignment="1">
      <alignment horizontal="center" vertical="center"/>
    </xf>
    <xf numFmtId="176" fontId="21" fillId="0" borderId="80" xfId="2" applyNumberFormat="1" applyFont="1" applyFill="1" applyBorder="1" applyAlignment="1">
      <alignment horizontal="center" vertical="center"/>
    </xf>
    <xf numFmtId="176" fontId="23" fillId="0" borderId="80" xfId="2" applyNumberFormat="1" applyFont="1" applyFill="1" applyBorder="1" applyAlignment="1">
      <alignment horizontal="center" vertical="center"/>
    </xf>
    <xf numFmtId="0" fontId="19" fillId="2" borderId="80" xfId="0" applyFont="1" applyFill="1" applyBorder="1" applyAlignment="1">
      <alignment horizontal="center" vertical="center"/>
    </xf>
    <xf numFmtId="181" fontId="38" fillId="2" borderId="80" xfId="1" applyNumberFormat="1" applyFont="1" applyFill="1" applyBorder="1" applyAlignment="1">
      <alignment horizontal="center" vertical="center"/>
    </xf>
    <xf numFmtId="9" fontId="21" fillId="0" borderId="80" xfId="1" applyFont="1" applyFill="1" applyBorder="1" applyAlignment="1">
      <alignment horizontal="center" vertical="center"/>
    </xf>
    <xf numFmtId="179" fontId="6" fillId="0" borderId="80" xfId="0" applyNumberFormat="1" applyFont="1" applyBorder="1" applyAlignment="1">
      <alignment horizontal="center" vertical="center"/>
    </xf>
    <xf numFmtId="176" fontId="19" fillId="2" borderId="80" xfId="2" applyNumberFormat="1" applyFont="1" applyFill="1" applyBorder="1" applyAlignment="1">
      <alignment horizontal="center" vertical="center" wrapText="1"/>
    </xf>
    <xf numFmtId="179" fontId="4" fillId="0" borderId="80" xfId="0" applyNumberFormat="1" applyFont="1" applyBorder="1" applyAlignment="1">
      <alignment horizontal="center" vertical="center" wrapText="1"/>
    </xf>
    <xf numFmtId="176" fontId="13" fillId="0" borderId="80" xfId="2" applyNumberFormat="1" applyFont="1" applyFill="1" applyBorder="1" applyAlignment="1">
      <alignment horizontal="center" vertical="center"/>
    </xf>
    <xf numFmtId="181" fontId="38" fillId="2" borderId="6" xfId="1" applyNumberFormat="1" applyFont="1" applyFill="1" applyBorder="1" applyAlignment="1">
      <alignment horizontal="center" vertical="center"/>
    </xf>
    <xf numFmtId="180" fontId="19" fillId="2" borderId="121" xfId="2" applyNumberFormat="1" applyFont="1" applyFill="1" applyBorder="1" applyAlignment="1">
      <alignment horizontal="right" vertical="center" wrapText="1"/>
    </xf>
    <xf numFmtId="184" fontId="21" fillId="0" borderId="121" xfId="2" applyNumberFormat="1" applyFont="1" applyFill="1" applyBorder="1" applyAlignment="1">
      <alignment horizontal="right" vertical="center" wrapText="1"/>
    </xf>
    <xf numFmtId="181" fontId="23" fillId="0" borderId="121" xfId="1" applyNumberFormat="1" applyFont="1" applyFill="1" applyBorder="1" applyAlignment="1">
      <alignment horizontal="right" vertical="center" wrapText="1"/>
    </xf>
    <xf numFmtId="180" fontId="19" fillId="2" borderId="121" xfId="0" applyNumberFormat="1" applyFont="1" applyFill="1" applyBorder="1" applyAlignment="1">
      <alignment horizontal="right" vertical="center" wrapText="1"/>
    </xf>
    <xf numFmtId="181" fontId="38" fillId="2" borderId="121" xfId="1" applyNumberFormat="1" applyFont="1" applyFill="1" applyBorder="1" applyAlignment="1">
      <alignment horizontal="right" vertical="center" wrapText="1"/>
    </xf>
    <xf numFmtId="184" fontId="21" fillId="0" borderId="121" xfId="1" applyNumberFormat="1" applyFont="1" applyFill="1" applyBorder="1" applyAlignment="1">
      <alignment horizontal="right" vertical="center" wrapText="1"/>
    </xf>
    <xf numFmtId="184" fontId="6" fillId="0" borderId="121" xfId="0" applyNumberFormat="1" applyFont="1" applyBorder="1" applyAlignment="1">
      <alignment horizontal="right" vertical="center" wrapText="1"/>
    </xf>
    <xf numFmtId="184" fontId="4" fillId="0" borderId="121" xfId="0" applyNumberFormat="1" applyFont="1" applyBorder="1" applyAlignment="1">
      <alignment horizontal="right" vertical="center" wrapText="1"/>
    </xf>
    <xf numFmtId="184" fontId="19" fillId="2" borderId="121" xfId="0" applyNumberFormat="1" applyFont="1" applyFill="1" applyBorder="1" applyAlignment="1">
      <alignment horizontal="right" vertical="center" wrapText="1"/>
    </xf>
    <xf numFmtId="180" fontId="13" fillId="0" borderId="121" xfId="2" applyNumberFormat="1" applyFont="1" applyFill="1" applyBorder="1" applyAlignment="1">
      <alignment horizontal="right" vertical="center" wrapText="1"/>
    </xf>
    <xf numFmtId="181" fontId="38" fillId="2" borderId="120" xfId="1" applyNumberFormat="1" applyFont="1" applyFill="1" applyBorder="1" applyAlignment="1">
      <alignment horizontal="right" vertical="center" wrapText="1"/>
    </xf>
    <xf numFmtId="180" fontId="19" fillId="2" borderId="50" xfId="2" applyNumberFormat="1" applyFont="1" applyFill="1" applyBorder="1" applyAlignment="1">
      <alignment horizontal="right" vertical="center" wrapText="1"/>
    </xf>
    <xf numFmtId="184" fontId="21" fillId="0" borderId="50" xfId="2" applyNumberFormat="1" applyFont="1" applyFill="1" applyBorder="1" applyAlignment="1">
      <alignment horizontal="right" vertical="center" wrapText="1"/>
    </xf>
    <xf numFmtId="181" fontId="23" fillId="0" borderId="50" xfId="1" applyNumberFormat="1" applyFont="1" applyFill="1" applyBorder="1" applyAlignment="1">
      <alignment horizontal="right" vertical="center" wrapText="1"/>
    </xf>
    <xf numFmtId="180" fontId="19" fillId="2" borderId="50" xfId="0" applyNumberFormat="1" applyFont="1" applyFill="1" applyBorder="1" applyAlignment="1">
      <alignment horizontal="right" vertical="center" wrapText="1"/>
    </xf>
    <xf numFmtId="181" fontId="38" fillId="2" borderId="50" xfId="1" applyNumberFormat="1" applyFont="1" applyFill="1" applyBorder="1" applyAlignment="1">
      <alignment horizontal="right" vertical="center" wrapText="1"/>
    </xf>
    <xf numFmtId="184" fontId="21" fillId="0" borderId="50" xfId="1" applyNumberFormat="1" applyFont="1" applyFill="1" applyBorder="1" applyAlignment="1">
      <alignment horizontal="right" vertical="center" wrapText="1"/>
    </xf>
    <xf numFmtId="180" fontId="6" fillId="0" borderId="50" xfId="0" applyNumberFormat="1" applyFont="1" applyBorder="1" applyAlignment="1">
      <alignment horizontal="right" vertical="center" wrapText="1"/>
    </xf>
    <xf numFmtId="184" fontId="6" fillId="0" borderId="50" xfId="0" applyNumberFormat="1" applyFont="1" applyBorder="1" applyAlignment="1">
      <alignment horizontal="right" vertical="center" wrapText="1"/>
    </xf>
    <xf numFmtId="184" fontId="4" fillId="0" borderId="50" xfId="0" applyNumberFormat="1" applyFont="1" applyBorder="1" applyAlignment="1">
      <alignment horizontal="right" vertical="center" wrapText="1"/>
    </xf>
    <xf numFmtId="180" fontId="13" fillId="0" borderId="50" xfId="2" applyNumberFormat="1" applyFont="1" applyFill="1" applyBorder="1" applyAlignment="1">
      <alignment horizontal="right" vertical="center" wrapText="1"/>
    </xf>
    <xf numFmtId="181" fontId="38" fillId="2" borderId="64" xfId="1" applyNumberFormat="1" applyFont="1" applyFill="1" applyBorder="1" applyAlignment="1">
      <alignment horizontal="right" vertical="center" wrapText="1"/>
    </xf>
    <xf numFmtId="41" fontId="16" fillId="0" borderId="0" xfId="2" applyFont="1">
      <alignment vertical="center"/>
    </xf>
    <xf numFmtId="176" fontId="16" fillId="0" borderId="0" xfId="2" applyNumberFormat="1" applyFont="1">
      <alignment vertical="center"/>
    </xf>
    <xf numFmtId="0" fontId="4" fillId="0" borderId="99" xfId="0" applyFont="1" applyBorder="1" applyAlignment="1">
      <alignment horizontal="center" vertical="center"/>
    </xf>
    <xf numFmtId="9" fontId="18" fillId="11" borderId="90" xfId="1" applyFont="1" applyFill="1" applyBorder="1" applyAlignment="1">
      <alignment horizontal="right" vertical="center" wrapText="1"/>
    </xf>
    <xf numFmtId="176" fontId="2" fillId="11" borderId="115" xfId="2" applyNumberFormat="1" applyFont="1" applyFill="1" applyBorder="1" applyAlignment="1">
      <alignment vertical="center" shrinkToFit="1"/>
    </xf>
    <xf numFmtId="9" fontId="5" fillId="11" borderId="83" xfId="1" applyFont="1" applyFill="1" applyBorder="1" applyAlignment="1">
      <alignment horizontal="center" vertical="center"/>
    </xf>
    <xf numFmtId="9" fontId="5" fillId="11" borderId="86" xfId="1" applyFont="1" applyFill="1" applyBorder="1" applyAlignment="1">
      <alignment horizontal="center" vertical="center"/>
    </xf>
    <xf numFmtId="9" fontId="18" fillId="2" borderId="90" xfId="1" applyFont="1" applyFill="1" applyBorder="1" applyAlignment="1">
      <alignment horizontal="right" vertical="center" wrapText="1"/>
    </xf>
    <xf numFmtId="180" fontId="59" fillId="11" borderId="60" xfId="0" applyNumberFormat="1" applyFont="1" applyFill="1" applyBorder="1" applyAlignment="1">
      <alignment horizontal="right" vertical="center" wrapText="1"/>
    </xf>
    <xf numFmtId="180" fontId="59" fillId="11" borderId="61" xfId="0" applyNumberFormat="1" applyFont="1" applyFill="1" applyBorder="1" applyAlignment="1">
      <alignment horizontal="right" vertical="center" wrapText="1"/>
    </xf>
    <xf numFmtId="176" fontId="2" fillId="11" borderId="90" xfId="2" applyNumberFormat="1" applyFont="1" applyFill="1" applyBorder="1" applyAlignment="1">
      <alignment vertical="center" shrinkToFit="1"/>
    </xf>
    <xf numFmtId="192" fontId="22" fillId="0" borderId="0" xfId="1" applyNumberFormat="1" applyFont="1" applyFill="1" applyBorder="1" applyAlignment="1">
      <alignment horizontal="right" vertical="center" wrapText="1"/>
    </xf>
    <xf numFmtId="192" fontId="22" fillId="0" borderId="54" xfId="1" applyNumberFormat="1" applyFont="1" applyFill="1" applyBorder="1" applyAlignment="1">
      <alignment horizontal="right" vertical="center" wrapText="1"/>
    </xf>
    <xf numFmtId="192" fontId="18" fillId="2" borderId="0" xfId="1" applyNumberFormat="1" applyFont="1" applyFill="1" applyBorder="1" applyAlignment="1">
      <alignment horizontal="right" vertical="center" wrapText="1"/>
    </xf>
    <xf numFmtId="192" fontId="18" fillId="2" borderId="54" xfId="1" applyNumberFormat="1" applyFont="1" applyFill="1" applyBorder="1" applyAlignment="1">
      <alignment horizontal="right" vertical="center" wrapText="1"/>
    </xf>
    <xf numFmtId="181" fontId="23" fillId="0" borderId="47" xfId="1" applyNumberFormat="1" applyFont="1" applyFill="1" applyBorder="1" applyAlignment="1">
      <alignment horizontal="center" vertical="center"/>
    </xf>
    <xf numFmtId="181" fontId="23" fillId="0" borderId="80" xfId="1" applyNumberFormat="1" applyFont="1" applyFill="1" applyBorder="1" applyAlignment="1">
      <alignment horizontal="center" vertical="center"/>
    </xf>
    <xf numFmtId="181" fontId="21" fillId="0" borderId="121" xfId="1" applyNumberFormat="1" applyFont="1" applyFill="1" applyBorder="1" applyAlignment="1">
      <alignment horizontal="right" vertical="center" wrapText="1"/>
    </xf>
    <xf numFmtId="181" fontId="21" fillId="0" borderId="50" xfId="1" applyNumberFormat="1" applyFont="1" applyFill="1" applyBorder="1" applyAlignment="1">
      <alignment horizontal="right" vertical="center" wrapText="1"/>
    </xf>
    <xf numFmtId="181" fontId="21" fillId="0" borderId="58" xfId="1" applyNumberFormat="1" applyFont="1" applyFill="1" applyBorder="1" applyAlignment="1">
      <alignment horizontal="right" vertical="center" wrapText="1"/>
    </xf>
    <xf numFmtId="181" fontId="6" fillId="0" borderId="0" xfId="1" applyNumberFormat="1" applyFont="1" applyFill="1" applyBorder="1" applyAlignment="1">
      <alignment horizontal="right" vertical="center" wrapText="1"/>
    </xf>
    <xf numFmtId="181" fontId="6" fillId="0" borderId="54" xfId="1" applyNumberFormat="1" applyFont="1" applyFill="1" applyBorder="1" applyAlignment="1">
      <alignment horizontal="right" vertical="center" wrapText="1"/>
    </xf>
    <xf numFmtId="181" fontId="21" fillId="0" borderId="0" xfId="1" applyNumberFormat="1" applyFont="1" applyFill="1" applyBorder="1" applyAlignment="1">
      <alignment horizontal="right" vertical="center" wrapText="1"/>
    </xf>
    <xf numFmtId="181" fontId="21" fillId="0" borderId="54" xfId="1" applyNumberFormat="1" applyFont="1" applyFill="1" applyBorder="1" applyAlignment="1">
      <alignment horizontal="right" vertical="center" wrapText="1"/>
    </xf>
    <xf numFmtId="181" fontId="21" fillId="0" borderId="59" xfId="1" applyNumberFormat="1" applyFont="1" applyFill="1" applyBorder="1" applyAlignment="1">
      <alignment horizontal="right" vertical="center" wrapText="1"/>
    </xf>
    <xf numFmtId="0" fontId="33" fillId="5" borderId="10" xfId="0" applyFont="1" applyFill="1" applyBorder="1" applyAlignment="1">
      <alignment horizontal="center" vertical="center" wrapText="1" readingOrder="1"/>
    </xf>
    <xf numFmtId="187" fontId="42" fillId="5" borderId="10" xfId="0" applyNumberFormat="1" applyFont="1" applyFill="1" applyBorder="1" applyAlignment="1">
      <alignment horizontal="right" vertical="center" wrapText="1" readingOrder="1"/>
    </xf>
    <xf numFmtId="182" fontId="42" fillId="5" borderId="76" xfId="0" applyNumberFormat="1" applyFont="1" applyFill="1" applyBorder="1" applyAlignment="1">
      <alignment horizontal="right" vertical="center" wrapText="1" readingOrder="1"/>
    </xf>
    <xf numFmtId="190" fontId="42" fillId="5" borderId="10" xfId="0" applyNumberFormat="1" applyFont="1" applyFill="1" applyBorder="1" applyAlignment="1">
      <alignment horizontal="right" vertical="center" wrapText="1" readingOrder="1"/>
    </xf>
    <xf numFmtId="0" fontId="33" fillId="5" borderId="10" xfId="0" applyFont="1" applyFill="1" applyBorder="1" applyAlignment="1">
      <alignment horizontal="center" vertical="center" readingOrder="1"/>
    </xf>
    <xf numFmtId="0" fontId="11" fillId="5" borderId="12" xfId="0" applyFont="1" applyFill="1" applyBorder="1" applyAlignment="1">
      <alignment horizontal="center" vertical="center" wrapText="1" readingOrder="1"/>
    </xf>
    <xf numFmtId="183" fontId="15" fillId="5" borderId="12" xfId="0" applyNumberFormat="1" applyFont="1" applyFill="1" applyBorder="1" applyAlignment="1">
      <alignment horizontal="right" vertical="center" wrapText="1" readingOrder="1"/>
    </xf>
    <xf numFmtId="187" fontId="15" fillId="5" borderId="12" xfId="0" applyNumberFormat="1" applyFont="1" applyFill="1" applyBorder="1" applyAlignment="1">
      <alignment horizontal="right" vertical="center" wrapText="1" readingOrder="1"/>
    </xf>
    <xf numFmtId="0" fontId="9" fillId="0" borderId="10" xfId="0" applyFont="1" applyBorder="1" applyAlignment="1">
      <alignment horizontal="center" vertical="center" wrapText="1" readingOrder="1"/>
    </xf>
    <xf numFmtId="181" fontId="44" fillId="0" borderId="10" xfId="0" applyNumberFormat="1" applyFont="1" applyBorder="1" applyAlignment="1">
      <alignment horizontal="right" vertical="center" wrapText="1" readingOrder="1"/>
    </xf>
    <xf numFmtId="187" fontId="44" fillId="0" borderId="10" xfId="0" applyNumberFormat="1" applyFont="1" applyBorder="1" applyAlignment="1">
      <alignment horizontal="right" vertical="center" wrapText="1" readingOrder="1"/>
    </xf>
    <xf numFmtId="0" fontId="10" fillId="11" borderId="9" xfId="0" applyFont="1" applyFill="1" applyBorder="1" applyAlignment="1">
      <alignment horizontal="center" vertical="center" wrapText="1" readingOrder="1"/>
    </xf>
    <xf numFmtId="177" fontId="15" fillId="11" borderId="9" xfId="0" applyNumberFormat="1" applyFont="1" applyFill="1" applyBorder="1" applyAlignment="1">
      <alignment horizontal="right" vertical="center" wrapText="1" readingOrder="1"/>
    </xf>
    <xf numFmtId="187" fontId="15" fillId="11" borderId="9" xfId="0" applyNumberFormat="1" applyFont="1" applyFill="1" applyBorder="1" applyAlignment="1">
      <alignment horizontal="right" vertical="center" wrapText="1" readingOrder="1"/>
    </xf>
    <xf numFmtId="183" fontId="15" fillId="11" borderId="9" xfId="0" applyNumberFormat="1" applyFont="1" applyFill="1" applyBorder="1" applyAlignment="1">
      <alignment horizontal="right" vertical="center" wrapText="1" readingOrder="1"/>
    </xf>
    <xf numFmtId="0" fontId="58" fillId="11" borderId="9" xfId="0" applyFont="1" applyFill="1" applyBorder="1" applyAlignment="1">
      <alignment horizontal="center" vertical="center" wrapText="1" readingOrder="1"/>
    </xf>
    <xf numFmtId="0" fontId="43" fillId="11" borderId="41" xfId="0" applyFont="1" applyFill="1" applyBorder="1">
      <alignment vertical="center"/>
    </xf>
    <xf numFmtId="0" fontId="10" fillId="11" borderId="42" xfId="0" applyFont="1" applyFill="1" applyBorder="1" applyAlignment="1">
      <alignment horizontal="left" vertical="center" readingOrder="1"/>
    </xf>
    <xf numFmtId="0" fontId="43" fillId="11" borderId="25" xfId="0" applyFont="1" applyFill="1" applyBorder="1">
      <alignment vertical="center"/>
    </xf>
    <xf numFmtId="0" fontId="43" fillId="11" borderId="21" xfId="0" applyFont="1" applyFill="1" applyBorder="1">
      <alignment vertical="center"/>
    </xf>
    <xf numFmtId="0" fontId="10" fillId="11" borderId="24" xfId="0" applyFont="1" applyFill="1" applyBorder="1" applyAlignment="1">
      <alignment horizontal="left" vertical="center" readingOrder="1"/>
    </xf>
    <xf numFmtId="0" fontId="10" fillId="11" borderId="25" xfId="0" applyFont="1" applyFill="1" applyBorder="1" applyAlignment="1">
      <alignment horizontal="left" vertical="center" readingOrder="1"/>
    </xf>
    <xf numFmtId="180" fontId="42" fillId="11" borderId="26" xfId="0" applyNumberFormat="1" applyFont="1" applyFill="1" applyBorder="1" applyAlignment="1">
      <alignment horizontal="right" vertical="center" wrapText="1" readingOrder="1"/>
    </xf>
    <xf numFmtId="0" fontId="17" fillId="11" borderId="20" xfId="0" applyFont="1" applyFill="1" applyBorder="1">
      <alignment vertical="center"/>
    </xf>
    <xf numFmtId="0" fontId="17" fillId="11" borderId="25" xfId="0" applyFont="1" applyFill="1" applyBorder="1">
      <alignment vertical="center"/>
    </xf>
    <xf numFmtId="180" fontId="15" fillId="11" borderId="26" xfId="0" applyNumberFormat="1" applyFont="1" applyFill="1" applyBorder="1" applyAlignment="1">
      <alignment horizontal="right" vertical="center" wrapText="1" readingOrder="1"/>
    </xf>
    <xf numFmtId="0" fontId="33" fillId="5" borderId="16" xfId="0" applyFont="1" applyFill="1" applyBorder="1" applyAlignment="1">
      <alignment horizontal="left" vertical="center" readingOrder="1"/>
    </xf>
    <xf numFmtId="0" fontId="17" fillId="5" borderId="17" xfId="0" applyFont="1" applyFill="1" applyBorder="1">
      <alignment vertical="center"/>
    </xf>
    <xf numFmtId="0" fontId="17" fillId="5" borderId="18" xfId="0" applyFont="1" applyFill="1" applyBorder="1">
      <alignment vertical="center"/>
    </xf>
    <xf numFmtId="0" fontId="33" fillId="5" borderId="35" xfId="0" applyFont="1" applyFill="1" applyBorder="1" applyAlignment="1">
      <alignment horizontal="left" vertical="center" readingOrder="1"/>
    </xf>
    <xf numFmtId="0" fontId="17" fillId="5" borderId="36" xfId="0" applyFont="1" applyFill="1" applyBorder="1">
      <alignment vertical="center"/>
    </xf>
    <xf numFmtId="0" fontId="17" fillId="5" borderId="38" xfId="0" applyFont="1" applyFill="1" applyBorder="1">
      <alignment vertical="center"/>
    </xf>
    <xf numFmtId="0" fontId="17" fillId="5" borderId="45" xfId="0" applyFont="1" applyFill="1" applyBorder="1">
      <alignment vertical="center"/>
    </xf>
    <xf numFmtId="0" fontId="17" fillId="5" borderId="37" xfId="0" applyFont="1" applyFill="1" applyBorder="1">
      <alignment vertical="center"/>
    </xf>
    <xf numFmtId="0" fontId="33" fillId="5" borderId="39" xfId="0" applyFont="1" applyFill="1" applyBorder="1" applyAlignment="1">
      <alignment horizontal="left" vertical="center" readingOrder="1"/>
    </xf>
    <xf numFmtId="0" fontId="33" fillId="5" borderId="40" xfId="0" applyFont="1" applyFill="1" applyBorder="1" applyAlignment="1">
      <alignment horizontal="left" vertical="center" readingOrder="1"/>
    </xf>
    <xf numFmtId="180" fontId="56" fillId="5" borderId="19" xfId="0" applyNumberFormat="1" applyFont="1" applyFill="1" applyBorder="1" applyAlignment="1">
      <alignment horizontal="right" vertical="top" wrapText="1" readingOrder="1"/>
    </xf>
    <xf numFmtId="180" fontId="42" fillId="5" borderId="34" xfId="0" applyNumberFormat="1" applyFont="1" applyFill="1" applyBorder="1" applyAlignment="1">
      <alignment horizontal="right" vertical="center" wrapText="1" readingOrder="1"/>
    </xf>
    <xf numFmtId="180" fontId="42" fillId="5" borderId="32" xfId="0" applyNumberFormat="1" applyFont="1" applyFill="1" applyBorder="1" applyAlignment="1">
      <alignment horizontal="right" vertical="center" wrapText="1" readingOrder="1"/>
    </xf>
    <xf numFmtId="0" fontId="43" fillId="0" borderId="0" xfId="0" applyFont="1">
      <alignment vertical="center"/>
    </xf>
    <xf numFmtId="0" fontId="36" fillId="0" borderId="0" xfId="0" applyFont="1" applyAlignment="1">
      <alignment horizontal="left" vertical="center" readingOrder="1"/>
    </xf>
    <xf numFmtId="180" fontId="42" fillId="0" borderId="0" xfId="0" applyNumberFormat="1" applyFont="1" applyAlignment="1">
      <alignment horizontal="right" vertical="center" wrapText="1" readingOrder="1"/>
    </xf>
    <xf numFmtId="0" fontId="17" fillId="0" borderId="39" xfId="0" applyFont="1" applyBorder="1">
      <alignment vertical="center"/>
    </xf>
    <xf numFmtId="0" fontId="10" fillId="0" borderId="40" xfId="0" applyFont="1" applyBorder="1" applyAlignment="1">
      <alignment horizontal="left" vertical="center" readingOrder="1"/>
    </xf>
    <xf numFmtId="0" fontId="17" fillId="0" borderId="122" xfId="0" applyFont="1" applyBorder="1">
      <alignment vertical="center"/>
    </xf>
    <xf numFmtId="0" fontId="10" fillId="0" borderId="122" xfId="0" applyFont="1" applyBorder="1" applyAlignment="1">
      <alignment horizontal="left" vertical="center" readingOrder="1"/>
    </xf>
    <xf numFmtId="180" fontId="15" fillId="0" borderId="123" xfId="0" applyNumberFormat="1" applyFont="1" applyBorder="1" applyAlignment="1">
      <alignment horizontal="right" vertical="center" wrapText="1" readingOrder="1"/>
    </xf>
    <xf numFmtId="0" fontId="43" fillId="4" borderId="98" xfId="0" applyFont="1" applyFill="1" applyBorder="1">
      <alignment vertical="center"/>
    </xf>
    <xf numFmtId="0" fontId="36" fillId="4" borderId="98" xfId="0" applyFont="1" applyFill="1" applyBorder="1" applyAlignment="1">
      <alignment horizontal="left" vertical="center" readingOrder="1"/>
    </xf>
    <xf numFmtId="180" fontId="42" fillId="4" borderId="98" xfId="0" applyNumberFormat="1" applyFont="1" applyFill="1" applyBorder="1" applyAlignment="1">
      <alignment horizontal="right" vertical="center" wrapText="1" readingOrder="1"/>
    </xf>
    <xf numFmtId="0" fontId="17" fillId="0" borderId="124" xfId="0" applyFont="1" applyBorder="1">
      <alignment vertical="center"/>
    </xf>
    <xf numFmtId="0" fontId="17" fillId="0" borderId="92" xfId="0" applyFont="1" applyBorder="1">
      <alignment vertical="center"/>
    </xf>
    <xf numFmtId="0" fontId="10" fillId="0" borderId="92" xfId="0" applyFont="1" applyBorder="1" applyAlignment="1">
      <alignment horizontal="left" vertical="center" readingOrder="1"/>
    </xf>
    <xf numFmtId="0" fontId="42" fillId="11" borderId="9" xfId="0" applyFont="1" applyFill="1" applyBorder="1" applyAlignment="1">
      <alignment horizontal="center" vertical="center" wrapText="1" readingOrder="1"/>
    </xf>
    <xf numFmtId="183" fontId="42" fillId="11" borderId="9" xfId="0" applyNumberFormat="1" applyFont="1" applyFill="1" applyBorder="1" applyAlignment="1">
      <alignment horizontal="right" vertical="center" wrapText="1" readingOrder="1"/>
    </xf>
    <xf numFmtId="187" fontId="42" fillId="11" borderId="9" xfId="0" applyNumberFormat="1" applyFont="1" applyFill="1" applyBorder="1" applyAlignment="1">
      <alignment horizontal="right" vertical="center" wrapText="1" readingOrder="1"/>
    </xf>
    <xf numFmtId="181" fontId="42" fillId="11" borderId="9" xfId="0" applyNumberFormat="1" applyFont="1" applyFill="1" applyBorder="1" applyAlignment="1">
      <alignment horizontal="right" vertical="center" wrapText="1" readingOrder="1"/>
    </xf>
    <xf numFmtId="188" fontId="42" fillId="11" borderId="9" xfId="0" applyNumberFormat="1" applyFont="1" applyFill="1" applyBorder="1" applyAlignment="1">
      <alignment horizontal="right" vertical="center" wrapText="1" readingOrder="1"/>
    </xf>
    <xf numFmtId="181" fontId="42" fillId="11" borderId="9" xfId="1" applyNumberFormat="1" applyFont="1" applyFill="1" applyBorder="1" applyAlignment="1">
      <alignment horizontal="right" vertical="center" wrapText="1" readingOrder="1"/>
    </xf>
    <xf numFmtId="0" fontId="15" fillId="11" borderId="9" xfId="0" applyFont="1" applyFill="1" applyBorder="1" applyAlignment="1">
      <alignment horizontal="center" vertical="center" wrapText="1" readingOrder="1"/>
    </xf>
    <xf numFmtId="184" fontId="15" fillId="11" borderId="9" xfId="0" applyNumberFormat="1" applyFont="1" applyFill="1" applyBorder="1" applyAlignment="1">
      <alignment horizontal="right" vertical="center" wrapText="1" readingOrder="1"/>
    </xf>
    <xf numFmtId="0" fontId="19" fillId="11" borderId="75" xfId="0" applyFont="1" applyFill="1" applyBorder="1" applyAlignment="1">
      <alignment horizontal="center" vertical="center"/>
    </xf>
    <xf numFmtId="0" fontId="42" fillId="11" borderId="10" xfId="0" applyFont="1" applyFill="1" applyBorder="1" applyAlignment="1">
      <alignment horizontal="center" vertical="center" wrapText="1" readingOrder="1"/>
    </xf>
    <xf numFmtId="181" fontId="42" fillId="11" borderId="10" xfId="0" applyNumberFormat="1" applyFont="1" applyFill="1" applyBorder="1" applyAlignment="1">
      <alignment horizontal="right" vertical="center" wrapText="1" readingOrder="1"/>
    </xf>
    <xf numFmtId="188" fontId="42" fillId="11" borderId="10" xfId="0" applyNumberFormat="1" applyFont="1" applyFill="1" applyBorder="1" applyAlignment="1">
      <alignment horizontal="right" vertical="center" wrapText="1" readingOrder="1"/>
    </xf>
    <xf numFmtId="176" fontId="19" fillId="11" borderId="125" xfId="2" applyNumberFormat="1" applyFont="1" applyFill="1" applyBorder="1" applyAlignment="1">
      <alignment horizontal="center" vertical="center"/>
    </xf>
    <xf numFmtId="176" fontId="19" fillId="11" borderId="126" xfId="2" applyNumberFormat="1" applyFont="1" applyFill="1" applyBorder="1" applyAlignment="1">
      <alignment horizontal="center" vertical="center"/>
    </xf>
    <xf numFmtId="180" fontId="19" fillId="11" borderId="127" xfId="2" applyNumberFormat="1" applyFont="1" applyFill="1" applyBorder="1" applyAlignment="1">
      <alignment horizontal="right" vertical="center" wrapText="1"/>
    </xf>
    <xf numFmtId="180" fontId="19" fillId="11" borderId="128" xfId="2" applyNumberFormat="1" applyFont="1" applyFill="1" applyBorder="1" applyAlignment="1">
      <alignment horizontal="right" vertical="center" wrapText="1"/>
    </xf>
    <xf numFmtId="9" fontId="22" fillId="11" borderId="128" xfId="1" applyFont="1" applyFill="1" applyBorder="1" applyAlignment="1">
      <alignment horizontal="right" vertical="center" wrapText="1"/>
    </xf>
    <xf numFmtId="9" fontId="22" fillId="11" borderId="129" xfId="1" applyFont="1" applyFill="1" applyBorder="1" applyAlignment="1">
      <alignment horizontal="right" vertical="center" wrapText="1"/>
    </xf>
    <xf numFmtId="9" fontId="22" fillId="11" borderId="131" xfId="1" applyFont="1" applyFill="1" applyBorder="1" applyAlignment="1">
      <alignment horizontal="right" vertical="center" wrapText="1"/>
    </xf>
    <xf numFmtId="9" fontId="26" fillId="0" borderId="0" xfId="1" applyFont="1" applyBorder="1" applyAlignment="1">
      <alignment horizontal="center" vertical="center"/>
    </xf>
    <xf numFmtId="180" fontId="26" fillId="0" borderId="0" xfId="0" applyNumberFormat="1" applyFont="1" applyAlignment="1">
      <alignment horizontal="right" vertical="center" wrapText="1"/>
    </xf>
    <xf numFmtId="41" fontId="2" fillId="14" borderId="0" xfId="2" applyFont="1" applyFill="1" applyBorder="1" applyAlignment="1">
      <alignment vertical="center" shrinkToFit="1"/>
    </xf>
    <xf numFmtId="41" fontId="2" fillId="14" borderId="2" xfId="2" applyFont="1" applyFill="1" applyBorder="1" applyAlignment="1">
      <alignment vertical="center" shrinkToFit="1"/>
    </xf>
    <xf numFmtId="9" fontId="18" fillId="0" borderId="2" xfId="1" applyFont="1" applyFill="1" applyBorder="1" applyAlignment="1">
      <alignment horizontal="right" vertical="center" wrapText="1"/>
    </xf>
    <xf numFmtId="9" fontId="18" fillId="0" borderId="0" xfId="1" applyFont="1" applyFill="1" applyBorder="1" applyAlignment="1">
      <alignment horizontal="right" vertical="center" wrapText="1"/>
    </xf>
    <xf numFmtId="9" fontId="59" fillId="11" borderId="83" xfId="1" applyFont="1" applyFill="1" applyBorder="1" applyAlignment="1">
      <alignment horizontal="center" vertical="center"/>
    </xf>
    <xf numFmtId="9" fontId="59" fillId="11" borderId="86" xfId="1" applyFont="1" applyFill="1" applyBorder="1" applyAlignment="1">
      <alignment horizontal="center" vertical="center"/>
    </xf>
    <xf numFmtId="181" fontId="59" fillId="11" borderId="87" xfId="1" applyNumberFormat="1" applyFont="1" applyFill="1" applyBorder="1" applyAlignment="1">
      <alignment horizontal="right" vertical="center" wrapText="1"/>
    </xf>
    <xf numFmtId="181" fontId="59" fillId="11" borderId="88" xfId="1" applyNumberFormat="1" applyFont="1" applyFill="1" applyBorder="1" applyAlignment="1">
      <alignment horizontal="right" vertical="center" wrapText="1"/>
    </xf>
    <xf numFmtId="181" fontId="2" fillId="11" borderId="90" xfId="1" applyNumberFormat="1" applyFont="1" applyFill="1" applyBorder="1" applyAlignment="1">
      <alignment vertical="center" shrinkToFit="1"/>
    </xf>
    <xf numFmtId="181" fontId="2" fillId="11" borderId="115" xfId="1" applyNumberFormat="1" applyFont="1" applyFill="1" applyBorder="1" applyAlignment="1">
      <alignment vertical="center" shrinkToFit="1"/>
    </xf>
    <xf numFmtId="192" fontId="49" fillId="11" borderId="90" xfId="1" applyNumberFormat="1" applyFont="1" applyFill="1" applyBorder="1" applyAlignment="1">
      <alignment horizontal="right" vertical="center" wrapText="1"/>
    </xf>
    <xf numFmtId="192" fontId="49" fillId="11" borderId="91" xfId="1" applyNumberFormat="1" applyFont="1" applyFill="1" applyBorder="1" applyAlignment="1">
      <alignment horizontal="right" vertical="center" wrapText="1"/>
    </xf>
    <xf numFmtId="181" fontId="19" fillId="11" borderId="125" xfId="1" applyNumberFormat="1" applyFont="1" applyFill="1" applyBorder="1" applyAlignment="1">
      <alignment horizontal="center" vertical="center"/>
    </xf>
    <xf numFmtId="181" fontId="19" fillId="11" borderId="126" xfId="1" applyNumberFormat="1" applyFont="1" applyFill="1" applyBorder="1" applyAlignment="1">
      <alignment horizontal="center" vertical="center"/>
    </xf>
    <xf numFmtId="181" fontId="19" fillId="11" borderId="130" xfId="1" applyNumberFormat="1" applyFont="1" applyFill="1" applyBorder="1" applyAlignment="1">
      <alignment horizontal="right" vertical="center" wrapText="1"/>
    </xf>
    <xf numFmtId="181" fontId="19" fillId="11" borderId="132" xfId="1" applyNumberFormat="1" applyFont="1" applyFill="1" applyBorder="1" applyAlignment="1">
      <alignment horizontal="right" vertical="center" wrapText="1"/>
    </xf>
    <xf numFmtId="181" fontId="19" fillId="11" borderId="129" xfId="1" applyNumberFormat="1" applyFont="1" applyFill="1" applyBorder="1" applyAlignment="1">
      <alignment horizontal="right" vertical="center" wrapText="1"/>
    </xf>
    <xf numFmtId="181" fontId="19" fillId="11" borderId="127" xfId="1" applyNumberFormat="1" applyFont="1" applyFill="1" applyBorder="1" applyAlignment="1">
      <alignment horizontal="right" vertical="center" wrapText="1"/>
    </xf>
    <xf numFmtId="192" fontId="22" fillId="11" borderId="128" xfId="1" applyNumberFormat="1" applyFont="1" applyFill="1" applyBorder="1" applyAlignment="1">
      <alignment horizontal="right" vertical="center" wrapText="1"/>
    </xf>
    <xf numFmtId="192" fontId="22" fillId="11" borderId="131" xfId="1" applyNumberFormat="1" applyFont="1" applyFill="1" applyBorder="1" applyAlignment="1">
      <alignment horizontal="right" vertical="center" wrapText="1"/>
    </xf>
    <xf numFmtId="0" fontId="26" fillId="0" borderId="65" xfId="0" applyFont="1" applyBorder="1" applyAlignment="1">
      <alignment horizontal="center" vertical="center"/>
    </xf>
    <xf numFmtId="0" fontId="26" fillId="0" borderId="75" xfId="0" applyFont="1" applyBorder="1" applyAlignment="1">
      <alignment horizontal="center" vertical="center"/>
    </xf>
    <xf numFmtId="180" fontId="26" fillId="0" borderId="58" xfId="0" applyNumberFormat="1" applyFont="1" applyBorder="1" applyAlignment="1">
      <alignment horizontal="right" vertical="center" wrapText="1"/>
    </xf>
    <xf numFmtId="9" fontId="18" fillId="0" borderId="54" xfId="1" applyFont="1" applyFill="1" applyBorder="1" applyAlignment="1">
      <alignment horizontal="right" vertical="center" wrapText="1"/>
    </xf>
    <xf numFmtId="181" fontId="26" fillId="0" borderId="66" xfId="1" applyNumberFormat="1" applyFont="1" applyFill="1" applyBorder="1" applyAlignment="1">
      <alignment horizontal="right" vertical="center" wrapText="1"/>
    </xf>
    <xf numFmtId="181" fontId="26" fillId="0" borderId="50" xfId="1" applyNumberFormat="1" applyFont="1" applyFill="1" applyBorder="1" applyAlignment="1">
      <alignment horizontal="right" vertical="center" wrapText="1"/>
    </xf>
    <xf numFmtId="181" fontId="26" fillId="0" borderId="59" xfId="1" applyNumberFormat="1" applyFont="1" applyFill="1" applyBorder="1" applyAlignment="1">
      <alignment horizontal="right" vertical="center" wrapText="1"/>
    </xf>
    <xf numFmtId="181" fontId="26" fillId="0" borderId="58" xfId="1" applyNumberFormat="1" applyFont="1" applyFill="1" applyBorder="1" applyAlignment="1">
      <alignment horizontal="right" vertical="center" wrapText="1"/>
    </xf>
    <xf numFmtId="192" fontId="18" fillId="0" borderId="0" xfId="1" applyNumberFormat="1" applyFont="1" applyFill="1" applyBorder="1" applyAlignment="1">
      <alignment horizontal="right" vertical="center" wrapText="1"/>
    </xf>
    <xf numFmtId="192" fontId="18" fillId="0" borderId="54" xfId="1" applyNumberFormat="1" applyFont="1" applyFill="1" applyBorder="1" applyAlignment="1">
      <alignment horizontal="right" vertical="center" wrapText="1"/>
    </xf>
    <xf numFmtId="9" fontId="18" fillId="0" borderId="59" xfId="1" applyFont="1" applyFill="1" applyBorder="1" applyAlignment="1">
      <alignment horizontal="right" vertical="center" wrapText="1"/>
    </xf>
    <xf numFmtId="41" fontId="19" fillId="0" borderId="0" xfId="2" applyFont="1" applyFill="1">
      <alignment vertical="center"/>
    </xf>
    <xf numFmtId="180" fontId="26" fillId="0" borderId="67" xfId="0" applyNumberFormat="1" applyFont="1" applyBorder="1" applyAlignment="1">
      <alignment horizontal="right" vertical="center" wrapText="1"/>
    </xf>
    <xf numFmtId="9" fontId="18" fillId="0" borderId="1" xfId="1" applyFont="1" applyFill="1" applyBorder="1" applyAlignment="1">
      <alignment horizontal="right" vertical="center" wrapText="1"/>
    </xf>
    <xf numFmtId="9" fontId="18" fillId="0" borderId="53" xfId="1" applyFont="1" applyFill="1" applyBorder="1" applyAlignment="1">
      <alignment horizontal="right" vertical="center" wrapText="1"/>
    </xf>
    <xf numFmtId="9" fontId="18" fillId="0" borderId="73" xfId="1" applyFont="1" applyFill="1" applyBorder="1" applyAlignment="1">
      <alignment horizontal="right" vertical="center" wrapText="1"/>
    </xf>
    <xf numFmtId="9" fontId="26" fillId="11" borderId="83" xfId="1" applyFont="1" applyFill="1" applyBorder="1" applyAlignment="1">
      <alignment horizontal="center" vertical="center"/>
    </xf>
    <xf numFmtId="9" fontId="26" fillId="11" borderId="86" xfId="1" applyFont="1" applyFill="1" applyBorder="1" applyAlignment="1">
      <alignment horizontal="center" vertical="center"/>
    </xf>
    <xf numFmtId="9" fontId="12" fillId="0" borderId="0" xfId="1" applyFont="1">
      <alignment vertical="center"/>
    </xf>
    <xf numFmtId="176" fontId="2" fillId="0" borderId="0" xfId="2" applyNumberFormat="1" applyFont="1" applyFill="1" applyBorder="1">
      <alignment vertical="center"/>
    </xf>
    <xf numFmtId="9" fontId="2" fillId="0" borderId="0" xfId="1" applyFont="1">
      <alignment vertical="center"/>
    </xf>
    <xf numFmtId="180" fontId="19" fillId="11" borderId="130" xfId="2" applyNumberFormat="1" applyFont="1" applyFill="1" applyBorder="1" applyAlignment="1">
      <alignment horizontal="right" vertical="center" wrapText="1"/>
    </xf>
    <xf numFmtId="180" fontId="19" fillId="11" borderId="132" xfId="2" applyNumberFormat="1" applyFont="1" applyFill="1" applyBorder="1" applyAlignment="1">
      <alignment horizontal="right" vertical="center" wrapText="1"/>
    </xf>
    <xf numFmtId="180" fontId="19" fillId="11" borderId="129" xfId="2" applyNumberFormat="1" applyFont="1" applyFill="1" applyBorder="1" applyAlignment="1">
      <alignment horizontal="right" vertical="center" wrapText="1"/>
    </xf>
    <xf numFmtId="176" fontId="59" fillId="11" borderId="83" xfId="1" applyNumberFormat="1" applyFont="1" applyFill="1" applyBorder="1" applyAlignment="1">
      <alignment horizontal="center" vertical="center"/>
    </xf>
    <xf numFmtId="176" fontId="59" fillId="11" borderId="88" xfId="2" applyNumberFormat="1" applyFont="1" applyFill="1" applyBorder="1" applyAlignment="1">
      <alignment horizontal="right" vertical="center" wrapText="1"/>
    </xf>
    <xf numFmtId="186" fontId="2" fillId="0" borderId="80" xfId="2" applyNumberFormat="1" applyFont="1" applyFill="1" applyBorder="1" applyAlignment="1">
      <alignment vertical="center" wrapText="1"/>
    </xf>
    <xf numFmtId="41" fontId="2" fillId="0" borderId="0" xfId="2" applyFont="1">
      <alignment vertical="center"/>
    </xf>
    <xf numFmtId="41" fontId="45" fillId="0" borderId="0" xfId="2" applyFont="1">
      <alignment vertical="center"/>
    </xf>
    <xf numFmtId="0" fontId="60" fillId="0" borderId="0" xfId="0" applyFont="1">
      <alignment vertical="center"/>
    </xf>
    <xf numFmtId="181" fontId="39" fillId="0" borderId="0" xfId="0" applyNumberFormat="1" applyFont="1">
      <alignment vertical="center"/>
    </xf>
    <xf numFmtId="176" fontId="61" fillId="0" borderId="0" xfId="2" applyNumberFormat="1" applyFont="1" applyFill="1" applyBorder="1">
      <alignment vertical="center"/>
    </xf>
    <xf numFmtId="0" fontId="62" fillId="0" borderId="0" xfId="0" applyFont="1">
      <alignment vertical="center"/>
    </xf>
    <xf numFmtId="0" fontId="60" fillId="0" borderId="0" xfId="0" applyFont="1" applyAlignment="1">
      <alignment horizontal="center" vertical="center"/>
    </xf>
    <xf numFmtId="41" fontId="60" fillId="0" borderId="0" xfId="2" applyFont="1">
      <alignment vertical="center"/>
    </xf>
    <xf numFmtId="186" fontId="4" fillId="6" borderId="98" xfId="2" applyNumberFormat="1" applyFont="1" applyFill="1" applyBorder="1" applyAlignment="1">
      <alignment horizontal="right" vertical="center"/>
    </xf>
    <xf numFmtId="186" fontId="4" fillId="0" borderId="0" xfId="2" applyNumberFormat="1" applyFont="1" applyAlignment="1">
      <alignment horizontal="right" vertical="center"/>
    </xf>
    <xf numFmtId="186" fontId="4" fillId="6" borderId="98" xfId="0" applyNumberFormat="1" applyFont="1" applyFill="1" applyBorder="1" applyAlignment="1">
      <alignment horizontal="right" vertical="center"/>
    </xf>
    <xf numFmtId="41" fontId="4" fillId="0" borderId="0" xfId="2" applyFont="1" applyAlignment="1">
      <alignment horizontal="right" vertical="center"/>
    </xf>
    <xf numFmtId="41" fontId="4" fillId="0" borderId="99" xfId="2" applyFont="1" applyBorder="1" applyAlignment="1">
      <alignment horizontal="right" vertical="center"/>
    </xf>
    <xf numFmtId="0" fontId="64" fillId="0" borderId="0" xfId="0" applyFont="1">
      <alignment vertical="center"/>
    </xf>
    <xf numFmtId="176" fontId="64" fillId="0" borderId="0" xfId="2" applyNumberFormat="1" applyFont="1">
      <alignment vertical="center"/>
    </xf>
    <xf numFmtId="187" fontId="64" fillId="0" borderId="0" xfId="0" applyNumberFormat="1" applyFont="1">
      <alignment vertical="center"/>
    </xf>
    <xf numFmtId="0" fontId="63" fillId="0" borderId="0" xfId="0" applyFont="1">
      <alignment vertical="center"/>
    </xf>
    <xf numFmtId="181" fontId="5" fillId="0" borderId="0" xfId="1" applyNumberFormat="1" applyFont="1" applyFill="1" applyBorder="1">
      <alignment vertical="center"/>
    </xf>
    <xf numFmtId="9" fontId="6" fillId="0" borderId="0" xfId="1" applyFont="1" applyFill="1">
      <alignment vertical="center"/>
    </xf>
    <xf numFmtId="180" fontId="42" fillId="0" borderId="34" xfId="0" applyNumberFormat="1" applyFont="1" applyBorder="1" applyAlignment="1">
      <alignment horizontal="right" vertical="center" wrapText="1" readingOrder="1"/>
    </xf>
    <xf numFmtId="0" fontId="65" fillId="0" borderId="0" xfId="0" applyFont="1">
      <alignment vertical="center"/>
    </xf>
    <xf numFmtId="0" fontId="66" fillId="0" borderId="0" xfId="0" applyFont="1">
      <alignment vertical="center"/>
    </xf>
    <xf numFmtId="0" fontId="66" fillId="6" borderId="0" xfId="0" applyFont="1" applyFill="1">
      <alignment vertical="center"/>
    </xf>
    <xf numFmtId="0" fontId="5" fillId="0" borderId="103" xfId="0" applyFont="1" applyBorder="1" applyAlignment="1">
      <alignment horizontal="center" vertical="center" wrapText="1"/>
    </xf>
    <xf numFmtId="186" fontId="4" fillId="6" borderId="77" xfId="2" applyNumberFormat="1" applyFont="1" applyFill="1" applyBorder="1" applyAlignment="1">
      <alignment horizontal="right" vertical="center"/>
    </xf>
    <xf numFmtId="186" fontId="4" fillId="6" borderId="79" xfId="2" applyNumberFormat="1" applyFont="1" applyFill="1" applyBorder="1" applyAlignment="1">
      <alignment horizontal="right" vertical="center"/>
    </xf>
    <xf numFmtId="186" fontId="4" fillId="0" borderId="80" xfId="2" applyNumberFormat="1" applyFont="1" applyBorder="1" applyAlignment="1">
      <alignment horizontal="right" vertical="center"/>
    </xf>
    <xf numFmtId="186" fontId="4" fillId="6" borderId="77" xfId="0" applyNumberFormat="1" applyFont="1" applyFill="1" applyBorder="1" applyAlignment="1">
      <alignment horizontal="right" vertical="center"/>
    </xf>
    <xf numFmtId="41" fontId="4" fillId="0" borderId="80" xfId="2" applyFont="1" applyBorder="1" applyAlignment="1">
      <alignment horizontal="right" vertical="center"/>
    </xf>
    <xf numFmtId="41" fontId="4" fillId="0" borderId="78" xfId="2" applyFont="1" applyBorder="1" applyAlignment="1">
      <alignment horizontal="right" vertical="center"/>
    </xf>
    <xf numFmtId="0" fontId="67" fillId="0" borderId="3" xfId="0" applyFont="1" applyBorder="1" applyAlignment="1">
      <alignment horizontal="left" vertical="center"/>
    </xf>
    <xf numFmtId="193" fontId="20" fillId="0" borderId="0" xfId="0" applyNumberFormat="1" applyFont="1">
      <alignment vertical="center"/>
    </xf>
    <xf numFmtId="193" fontId="13" fillId="0" borderId="0" xfId="0" applyNumberFormat="1" applyFont="1">
      <alignment vertical="center"/>
    </xf>
    <xf numFmtId="193" fontId="19" fillId="0" borderId="0" xfId="0" applyNumberFormat="1" applyFont="1" applyAlignment="1">
      <alignment horizontal="center" vertical="center"/>
    </xf>
    <xf numFmtId="193" fontId="19" fillId="0" borderId="0" xfId="2" applyNumberFormat="1" applyFont="1" applyFill="1" applyBorder="1">
      <alignment vertical="center"/>
    </xf>
    <xf numFmtId="193" fontId="21" fillId="0" borderId="0" xfId="2" applyNumberFormat="1" applyFont="1" applyFill="1" applyBorder="1">
      <alignment vertical="center"/>
    </xf>
    <xf numFmtId="193" fontId="19" fillId="0" borderId="0" xfId="0" applyNumberFormat="1" applyFont="1">
      <alignment vertical="center"/>
    </xf>
    <xf numFmtId="193" fontId="4" fillId="0" borderId="0" xfId="0" applyNumberFormat="1" applyFont="1">
      <alignment vertical="center"/>
    </xf>
    <xf numFmtId="193" fontId="21" fillId="0" borderId="0" xfId="1" applyNumberFormat="1" applyFont="1" applyFill="1" applyBorder="1">
      <alignment vertical="center"/>
    </xf>
    <xf numFmtId="193" fontId="4" fillId="0" borderId="0" xfId="2" applyNumberFormat="1" applyFont="1" applyFill="1" applyBorder="1">
      <alignment vertical="center"/>
    </xf>
    <xf numFmtId="193" fontId="28" fillId="0" borderId="0" xfId="0" applyNumberFormat="1" applyFont="1">
      <alignment vertical="center"/>
    </xf>
    <xf numFmtId="193" fontId="46" fillId="0" borderId="0" xfId="0" applyNumberFormat="1" applyFont="1">
      <alignment vertical="center"/>
    </xf>
    <xf numFmtId="193" fontId="13" fillId="0" borderId="0" xfId="2" applyNumberFormat="1" applyFont="1" applyFill="1" applyBorder="1">
      <alignment vertical="center"/>
    </xf>
    <xf numFmtId="193" fontId="13" fillId="0" borderId="0" xfId="1" applyNumberFormat="1" applyFont="1">
      <alignment vertical="center"/>
    </xf>
    <xf numFmtId="193" fontId="26" fillId="0" borderId="0" xfId="0" applyNumberFormat="1" applyFont="1">
      <alignment vertical="center"/>
    </xf>
    <xf numFmtId="193" fontId="21" fillId="0" borderId="0" xfId="0" applyNumberFormat="1" applyFont="1">
      <alignment vertical="center"/>
    </xf>
    <xf numFmtId="193" fontId="19" fillId="0" borderId="0" xfId="1" applyNumberFormat="1" applyFont="1" applyFill="1" applyBorder="1">
      <alignment vertical="center"/>
    </xf>
    <xf numFmtId="183" fontId="15" fillId="8" borderId="9" xfId="0" applyNumberFormat="1" applyFont="1" applyFill="1" applyBorder="1" applyAlignment="1">
      <alignment horizontal="right" vertical="center" wrapText="1" readingOrder="1"/>
    </xf>
    <xf numFmtId="183" fontId="15" fillId="8" borderId="10" xfId="0" applyNumberFormat="1" applyFont="1" applyFill="1" applyBorder="1" applyAlignment="1">
      <alignment horizontal="right" vertical="center" wrapText="1" readingOrder="1"/>
    </xf>
    <xf numFmtId="183" fontId="42" fillId="6" borderId="9" xfId="0" applyNumberFormat="1" applyFont="1" applyFill="1" applyBorder="1" applyAlignment="1">
      <alignment horizontal="right" vertical="center" wrapText="1" readingOrder="1"/>
    </xf>
    <xf numFmtId="183" fontId="42" fillId="5" borderId="10" xfId="0" applyNumberFormat="1" applyFont="1" applyFill="1" applyBorder="1" applyAlignment="1">
      <alignment horizontal="right" vertical="center" wrapText="1" readingOrder="1"/>
    </xf>
    <xf numFmtId="183" fontId="42" fillId="5" borderId="76" xfId="0" applyNumberFormat="1" applyFont="1" applyFill="1" applyBorder="1" applyAlignment="1">
      <alignment horizontal="right" vertical="center" wrapText="1" readingOrder="1"/>
    </xf>
    <xf numFmtId="181" fontId="42" fillId="5" borderId="9" xfId="1" applyNumberFormat="1" applyFont="1" applyFill="1" applyBorder="1" applyAlignment="1">
      <alignment horizontal="right" vertical="center" wrapText="1" readingOrder="1"/>
    </xf>
    <xf numFmtId="181" fontId="15" fillId="8" borderId="9" xfId="1" applyNumberFormat="1" applyFont="1" applyFill="1" applyBorder="1" applyAlignment="1">
      <alignment horizontal="right" vertical="center" wrapText="1" readingOrder="1"/>
    </xf>
    <xf numFmtId="181" fontId="15" fillId="8" borderId="10" xfId="1" applyNumberFormat="1" applyFont="1" applyFill="1" applyBorder="1" applyAlignment="1">
      <alignment horizontal="right" vertical="center" wrapText="1" readingOrder="1"/>
    </xf>
    <xf numFmtId="181" fontId="42" fillId="6" borderId="9" xfId="1" applyNumberFormat="1" applyFont="1" applyFill="1" applyBorder="1" applyAlignment="1">
      <alignment horizontal="right" vertical="center" wrapText="1" readingOrder="1"/>
    </xf>
    <xf numFmtId="181" fontId="15" fillId="0" borderId="9" xfId="1" applyNumberFormat="1" applyFont="1" applyBorder="1" applyAlignment="1">
      <alignment horizontal="right" vertical="center" wrapText="1" readingOrder="1"/>
    </xf>
    <xf numFmtId="181" fontId="42" fillId="5" borderId="10" xfId="1" applyNumberFormat="1" applyFont="1" applyFill="1" applyBorder="1" applyAlignment="1">
      <alignment horizontal="right" vertical="center" wrapText="1" readingOrder="1"/>
    </xf>
    <xf numFmtId="181" fontId="42" fillId="10" borderId="12" xfId="1" applyNumberFormat="1" applyFont="1" applyFill="1" applyBorder="1" applyAlignment="1">
      <alignment horizontal="right" vertical="center" wrapText="1" readingOrder="1"/>
    </xf>
    <xf numFmtId="176" fontId="15" fillId="11" borderId="9" xfId="2" applyNumberFormat="1" applyFont="1" applyFill="1" applyBorder="1" applyAlignment="1">
      <alignment horizontal="right" vertical="center" wrapText="1" readingOrder="1"/>
    </xf>
    <xf numFmtId="181" fontId="26" fillId="0" borderId="89" xfId="1" applyNumberFormat="1" applyFont="1" applyFill="1" applyBorder="1" applyAlignment="1">
      <alignment horizontal="right" vertical="center" wrapText="1"/>
    </xf>
    <xf numFmtId="181" fontId="26" fillId="0" borderId="107" xfId="1" applyNumberFormat="1" applyFont="1" applyFill="1" applyBorder="1" applyAlignment="1">
      <alignment horizontal="right" vertical="center" wrapText="1"/>
    </xf>
    <xf numFmtId="181" fontId="18" fillId="2" borderId="81" xfId="1" applyNumberFormat="1" applyFont="1" applyFill="1" applyBorder="1" applyAlignment="1">
      <alignment horizontal="right" vertical="center" wrapText="1"/>
    </xf>
    <xf numFmtId="181" fontId="22" fillId="0" borderId="81" xfId="1" applyNumberFormat="1" applyFont="1" applyFill="1" applyBorder="1" applyAlignment="1">
      <alignment horizontal="right" vertical="center" wrapText="1"/>
    </xf>
    <xf numFmtId="194" fontId="22" fillId="0" borderId="0" xfId="1" applyNumberFormat="1" applyFont="1" applyFill="1" applyBorder="1" applyAlignment="1">
      <alignment horizontal="right" vertical="center" wrapText="1"/>
    </xf>
    <xf numFmtId="194" fontId="18" fillId="2" borderId="81" xfId="1" applyNumberFormat="1" applyFont="1" applyFill="1" applyBorder="1" applyAlignment="1">
      <alignment horizontal="right" vertical="center" wrapText="1"/>
    </xf>
    <xf numFmtId="194" fontId="22" fillId="0" borderId="81" xfId="1" applyNumberFormat="1" applyFont="1" applyFill="1" applyBorder="1" applyAlignment="1">
      <alignment horizontal="right" vertical="center" wrapText="1"/>
    </xf>
    <xf numFmtId="194" fontId="22" fillId="11" borderId="81" xfId="1" applyNumberFormat="1" applyFont="1" applyFill="1" applyBorder="1" applyAlignment="1">
      <alignment horizontal="right" vertical="center" wrapText="1"/>
    </xf>
    <xf numFmtId="194" fontId="18" fillId="0" borderId="95" xfId="1" applyNumberFormat="1" applyFont="1" applyFill="1" applyBorder="1" applyAlignment="1">
      <alignment horizontal="right" vertical="center" wrapText="1"/>
    </xf>
    <xf numFmtId="181" fontId="22" fillId="2" borderId="81" xfId="1" applyNumberFormat="1" applyFont="1" applyFill="1" applyBorder="1" applyAlignment="1">
      <alignment horizontal="right" vertical="center" wrapText="1"/>
    </xf>
    <xf numFmtId="181" fontId="21" fillId="0" borderId="81" xfId="1" applyNumberFormat="1" applyFont="1" applyFill="1" applyBorder="1" applyAlignment="1">
      <alignment horizontal="right" vertical="center" wrapText="1"/>
    </xf>
    <xf numFmtId="181" fontId="6" fillId="0" borderId="81" xfId="1" applyNumberFormat="1" applyFont="1" applyFill="1" applyBorder="1" applyAlignment="1">
      <alignment horizontal="right" vertical="center" wrapText="1"/>
    </xf>
    <xf numFmtId="181" fontId="6" fillId="2" borderId="81" xfId="1" applyNumberFormat="1" applyFont="1" applyFill="1" applyBorder="1" applyAlignment="1">
      <alignment horizontal="right" vertical="center" wrapText="1"/>
    </xf>
    <xf numFmtId="181" fontId="18" fillId="0" borderId="85" xfId="1" applyNumberFormat="1" applyFont="1" applyFill="1" applyBorder="1" applyAlignment="1">
      <alignment horizontal="right" vertical="center" wrapText="1"/>
    </xf>
    <xf numFmtId="181" fontId="18" fillId="6" borderId="81" xfId="1" applyNumberFormat="1" applyFont="1" applyFill="1" applyBorder="1" applyAlignment="1">
      <alignment horizontal="right" vertical="center" wrapText="1"/>
    </xf>
    <xf numFmtId="181" fontId="53" fillId="0" borderId="81" xfId="1" applyNumberFormat="1" applyFont="1" applyFill="1" applyBorder="1" applyAlignment="1">
      <alignment horizontal="right" vertical="center" wrapText="1"/>
    </xf>
    <xf numFmtId="181" fontId="53" fillId="0" borderId="79" xfId="1" applyNumberFormat="1" applyFont="1" applyFill="1" applyBorder="1" applyAlignment="1">
      <alignment horizontal="right" vertical="center" wrapText="1"/>
    </xf>
    <xf numFmtId="181" fontId="53" fillId="0" borderId="82" xfId="1" applyNumberFormat="1" applyFont="1" applyFill="1" applyBorder="1" applyAlignment="1">
      <alignment horizontal="right" vertical="center" wrapText="1"/>
    </xf>
    <xf numFmtId="186" fontId="4" fillId="0" borderId="78" xfId="2" applyNumberFormat="1" applyFont="1" applyBorder="1" applyAlignment="1">
      <alignment horizontal="right" vertical="center"/>
    </xf>
    <xf numFmtId="186" fontId="2" fillId="0" borderId="77" xfId="2" applyNumberFormat="1" applyFont="1" applyFill="1" applyBorder="1" applyAlignment="1">
      <alignment vertical="center" wrapText="1"/>
    </xf>
    <xf numFmtId="186" fontId="2" fillId="0" borderId="78" xfId="2" applyNumberFormat="1" applyFont="1" applyFill="1" applyBorder="1" applyAlignment="1">
      <alignment vertical="center" wrapText="1"/>
    </xf>
    <xf numFmtId="184" fontId="5" fillId="2" borderId="54" xfId="0" applyNumberFormat="1" applyFont="1" applyFill="1" applyBorder="1" applyAlignment="1">
      <alignment horizontal="right" vertical="center" wrapText="1"/>
    </xf>
    <xf numFmtId="41" fontId="2" fillId="11" borderId="90" xfId="2" applyFont="1" applyFill="1" applyBorder="1" applyAlignment="1">
      <alignment horizontal="right" vertical="center" shrinkToFit="1"/>
    </xf>
    <xf numFmtId="181" fontId="19" fillId="0" borderId="0" xfId="1" applyNumberFormat="1" applyFont="1">
      <alignment vertical="center"/>
    </xf>
    <xf numFmtId="181" fontId="26" fillId="2" borderId="0" xfId="1" applyNumberFormat="1" applyFont="1" applyFill="1">
      <alignment vertical="center"/>
    </xf>
    <xf numFmtId="181" fontId="13" fillId="2" borderId="0" xfId="1" applyNumberFormat="1" applyFont="1" applyFill="1">
      <alignment vertical="center"/>
    </xf>
    <xf numFmtId="181" fontId="13" fillId="0" borderId="0" xfId="1" applyNumberFormat="1" applyFont="1">
      <alignment vertical="center"/>
    </xf>
    <xf numFmtId="41" fontId="26" fillId="11" borderId="133" xfId="2" applyFont="1" applyFill="1" applyBorder="1" applyAlignment="1">
      <alignment horizontal="right" vertical="center" wrapText="1"/>
    </xf>
    <xf numFmtId="41" fontId="26" fillId="11" borderId="134" xfId="2" applyFont="1" applyFill="1" applyBorder="1" applyAlignment="1">
      <alignment horizontal="right" vertical="center" wrapText="1"/>
    </xf>
    <xf numFmtId="41" fontId="2" fillId="11" borderId="134" xfId="2" applyFont="1" applyFill="1" applyBorder="1" applyAlignment="1">
      <alignment vertical="center" shrinkToFit="1"/>
    </xf>
    <xf numFmtId="41" fontId="2" fillId="11" borderId="135" xfId="2" applyFont="1" applyFill="1" applyBorder="1" applyAlignment="1">
      <alignment vertical="center" shrinkToFit="1"/>
    </xf>
    <xf numFmtId="176" fontId="2" fillId="11" borderId="116" xfId="2" applyNumberFormat="1" applyFont="1" applyFill="1" applyBorder="1" applyAlignment="1">
      <alignment vertical="center" shrinkToFit="1"/>
    </xf>
    <xf numFmtId="176" fontId="2" fillId="11" borderId="136" xfId="2" applyNumberFormat="1" applyFont="1" applyFill="1" applyBorder="1" applyAlignment="1">
      <alignment vertical="center" shrinkToFit="1"/>
    </xf>
    <xf numFmtId="180" fontId="19" fillId="0" borderId="137" xfId="0" applyNumberFormat="1" applyFont="1" applyBorder="1" applyAlignment="1">
      <alignment horizontal="right" vertical="center" wrapText="1"/>
    </xf>
    <xf numFmtId="180" fontId="19" fillId="0" borderId="138" xfId="0" applyNumberFormat="1" applyFont="1" applyBorder="1" applyAlignment="1">
      <alignment horizontal="right" vertical="center" wrapText="1"/>
    </xf>
    <xf numFmtId="180" fontId="26" fillId="2" borderId="137" xfId="0" applyNumberFormat="1" applyFont="1" applyFill="1" applyBorder="1" applyAlignment="1">
      <alignment horizontal="right" vertical="center" wrapText="1"/>
    </xf>
    <xf numFmtId="180" fontId="26" fillId="2" borderId="138" xfId="0" applyNumberFormat="1" applyFont="1" applyFill="1" applyBorder="1" applyAlignment="1">
      <alignment vertical="center" wrapText="1"/>
    </xf>
    <xf numFmtId="180" fontId="19" fillId="0" borderId="138" xfId="0" applyNumberFormat="1" applyFont="1" applyBorder="1" applyAlignment="1">
      <alignment vertical="center" wrapText="1"/>
    </xf>
    <xf numFmtId="180" fontId="19" fillId="11" borderId="139" xfId="2" applyNumberFormat="1" applyFont="1" applyFill="1" applyBorder="1" applyAlignment="1">
      <alignment horizontal="right" vertical="center" wrapText="1"/>
    </xf>
    <xf numFmtId="180" fontId="19" fillId="11" borderId="140" xfId="2" applyNumberFormat="1" applyFont="1" applyFill="1" applyBorder="1" applyAlignment="1">
      <alignment vertical="center" wrapText="1"/>
    </xf>
    <xf numFmtId="180" fontId="26" fillId="2" borderId="141" xfId="0" applyNumberFormat="1" applyFont="1" applyFill="1" applyBorder="1" applyAlignment="1">
      <alignment horizontal="right" vertical="center" wrapText="1"/>
    </xf>
    <xf numFmtId="180" fontId="26" fillId="2" borderId="142" xfId="0" applyNumberFormat="1" applyFont="1" applyFill="1" applyBorder="1" applyAlignment="1">
      <alignment vertical="center" wrapText="1"/>
    </xf>
    <xf numFmtId="180" fontId="2" fillId="11" borderId="136" xfId="2" applyNumberFormat="1" applyFont="1" applyFill="1" applyBorder="1" applyAlignment="1">
      <alignment vertical="center" shrinkToFit="1"/>
    </xf>
    <xf numFmtId="181" fontId="19" fillId="11" borderId="143" xfId="1" applyNumberFormat="1" applyFont="1" applyFill="1" applyBorder="1" applyAlignment="1">
      <alignment horizontal="right" vertical="center" wrapText="1"/>
    </xf>
    <xf numFmtId="181" fontId="19" fillId="11" borderId="144" xfId="1" applyNumberFormat="1" applyFont="1" applyFill="1" applyBorder="1" applyAlignment="1">
      <alignment horizontal="right" vertical="center" wrapText="1"/>
    </xf>
    <xf numFmtId="181" fontId="19" fillId="0" borderId="143" xfId="1" applyNumberFormat="1" applyFont="1" applyFill="1" applyBorder="1" applyAlignment="1">
      <alignment horizontal="right" vertical="center" wrapText="1"/>
    </xf>
    <xf numFmtId="181" fontId="19" fillId="0" borderId="144" xfId="1" applyNumberFormat="1" applyFont="1" applyFill="1" applyBorder="1" applyAlignment="1">
      <alignment horizontal="right" vertical="center" wrapText="1"/>
    </xf>
    <xf numFmtId="181" fontId="26" fillId="2" borderId="143" xfId="1" applyNumberFormat="1" applyFont="1" applyFill="1" applyBorder="1" applyAlignment="1">
      <alignment horizontal="right" vertical="center" wrapText="1"/>
    </xf>
    <xf numFmtId="181" fontId="26" fillId="2" borderId="144" xfId="1" applyNumberFormat="1" applyFont="1" applyFill="1" applyBorder="1" applyAlignment="1">
      <alignment horizontal="right" vertical="center" wrapText="1"/>
    </xf>
    <xf numFmtId="181" fontId="19" fillId="11" borderId="145" xfId="1" applyNumberFormat="1" applyFont="1" applyFill="1" applyBorder="1" applyAlignment="1">
      <alignment horizontal="right" vertical="center" wrapText="1"/>
    </xf>
    <xf numFmtId="181" fontId="19" fillId="11" borderId="146" xfId="1" applyNumberFormat="1" applyFont="1" applyFill="1" applyBorder="1" applyAlignment="1">
      <alignment horizontal="right" vertical="center" wrapText="1"/>
    </xf>
    <xf numFmtId="181" fontId="26" fillId="0" borderId="133" xfId="1" applyNumberFormat="1" applyFont="1" applyBorder="1" applyAlignment="1">
      <alignment horizontal="right" vertical="center" wrapText="1"/>
    </xf>
    <xf numFmtId="181" fontId="26" fillId="0" borderId="147" xfId="1" applyNumberFormat="1" applyFont="1" applyBorder="1" applyAlignment="1">
      <alignment horizontal="right" vertical="center" wrapText="1"/>
    </xf>
    <xf numFmtId="180" fontId="26" fillId="0" borderId="0" xfId="0" applyNumberFormat="1" applyFont="1">
      <alignment vertical="center"/>
    </xf>
    <xf numFmtId="41" fontId="4" fillId="8" borderId="77" xfId="2" applyFont="1" applyFill="1" applyBorder="1" applyAlignment="1">
      <alignment vertical="center" wrapText="1"/>
    </xf>
    <xf numFmtId="41" fontId="6" fillId="8" borderId="98" xfId="2" applyFont="1" applyFill="1" applyBorder="1" applyAlignment="1">
      <alignment vertical="center" wrapText="1"/>
    </xf>
    <xf numFmtId="41" fontId="13" fillId="0" borderId="80" xfId="2" applyFont="1" applyFill="1" applyBorder="1" applyAlignment="1">
      <alignment vertical="center" wrapText="1"/>
    </xf>
    <xf numFmtId="41" fontId="21" fillId="0" borderId="0" xfId="2" applyFont="1" applyFill="1" applyBorder="1" applyAlignment="1">
      <alignment vertical="center" wrapText="1"/>
    </xf>
    <xf numFmtId="41" fontId="19" fillId="6" borderId="78" xfId="2" applyFont="1" applyFill="1" applyBorder="1" applyAlignment="1">
      <alignment vertical="center" wrapText="1"/>
    </xf>
    <xf numFmtId="41" fontId="21" fillId="6" borderId="99" xfId="2" applyFont="1" applyFill="1" applyBorder="1" applyAlignment="1">
      <alignment vertical="center" wrapText="1"/>
    </xf>
    <xf numFmtId="41" fontId="64" fillId="0" borderId="0" xfId="2" applyFont="1">
      <alignment vertical="center"/>
    </xf>
    <xf numFmtId="41" fontId="68" fillId="0" borderId="0" xfId="2" applyFont="1">
      <alignment vertical="center"/>
    </xf>
    <xf numFmtId="41" fontId="12" fillId="0" borderId="0" xfId="2" applyFont="1">
      <alignment vertical="center"/>
    </xf>
    <xf numFmtId="41" fontId="69" fillId="0" borderId="0" xfId="2" applyFont="1">
      <alignment vertical="center"/>
    </xf>
    <xf numFmtId="9" fontId="66" fillId="0" borderId="0" xfId="1" applyFont="1">
      <alignment vertical="center"/>
    </xf>
    <xf numFmtId="186" fontId="4" fillId="6" borderId="74" xfId="2" applyNumberFormat="1" applyFont="1" applyFill="1" applyBorder="1" applyAlignment="1">
      <alignment horizontal="right" vertical="center"/>
    </xf>
    <xf numFmtId="186" fontId="4" fillId="0" borderId="81" xfId="2" applyNumberFormat="1" applyFont="1" applyBorder="1" applyAlignment="1">
      <alignment horizontal="right" vertical="center"/>
    </xf>
    <xf numFmtId="186" fontId="4" fillId="0" borderId="75" xfId="2" applyNumberFormat="1" applyFont="1" applyBorder="1" applyAlignment="1">
      <alignment horizontal="right" vertical="center"/>
    </xf>
    <xf numFmtId="186" fontId="4" fillId="6" borderId="79" xfId="0" applyNumberFormat="1" applyFont="1" applyFill="1" applyBorder="1" applyAlignment="1">
      <alignment horizontal="right" vertical="center"/>
    </xf>
    <xf numFmtId="186" fontId="4" fillId="6" borderId="74" xfId="0" applyNumberFormat="1" applyFont="1" applyFill="1" applyBorder="1" applyAlignment="1">
      <alignment horizontal="right" vertical="center"/>
    </xf>
    <xf numFmtId="41" fontId="4" fillId="0" borderId="81" xfId="2" applyFont="1" applyBorder="1" applyAlignment="1">
      <alignment horizontal="right" vertical="center"/>
    </xf>
    <xf numFmtId="41" fontId="4" fillId="0" borderId="75" xfId="2" applyFont="1" applyBorder="1" applyAlignment="1">
      <alignment horizontal="right" vertical="center"/>
    </xf>
    <xf numFmtId="41" fontId="4" fillId="6" borderId="79" xfId="2" applyFont="1" applyFill="1" applyBorder="1" applyAlignment="1">
      <alignment horizontal="right" vertical="center"/>
    </xf>
    <xf numFmtId="41" fontId="4" fillId="6" borderId="74" xfId="2" applyFont="1" applyFill="1" applyBorder="1" applyAlignment="1">
      <alignment horizontal="right" vertical="center"/>
    </xf>
    <xf numFmtId="41" fontId="4" fillId="0" borderId="82" xfId="2" applyFont="1" applyBorder="1" applyAlignment="1">
      <alignment horizontal="right" vertical="center"/>
    </xf>
    <xf numFmtId="41" fontId="4" fillId="0" borderId="76" xfId="2" applyFont="1" applyBorder="1" applyAlignment="1">
      <alignment horizontal="right" vertical="center"/>
    </xf>
    <xf numFmtId="186" fontId="4" fillId="0" borderId="76" xfId="2" applyNumberFormat="1" applyFont="1" applyBorder="1" applyAlignment="1">
      <alignment horizontal="right" vertical="center"/>
    </xf>
    <xf numFmtId="41" fontId="2" fillId="14" borderId="0" xfId="2" applyFont="1" applyFill="1" applyBorder="1" applyAlignment="1">
      <alignment horizontal="center" vertical="center" shrinkToFit="1"/>
    </xf>
    <xf numFmtId="41" fontId="2" fillId="14" borderId="102" xfId="2" applyFont="1" applyFill="1" applyBorder="1" applyAlignment="1">
      <alignment horizontal="center" vertical="center"/>
    </xf>
    <xf numFmtId="41" fontId="2" fillId="14" borderId="0" xfId="2" applyFont="1" applyFill="1" applyBorder="1" applyAlignment="1">
      <alignment horizontal="center" vertical="center"/>
    </xf>
    <xf numFmtId="41" fontId="2" fillId="14" borderId="68" xfId="2" applyFont="1" applyFill="1" applyBorder="1" applyAlignment="1">
      <alignment horizontal="center" vertical="center"/>
    </xf>
    <xf numFmtId="41" fontId="2" fillId="14" borderId="4" xfId="2" applyFont="1" applyFill="1" applyBorder="1" applyAlignment="1">
      <alignment horizontal="center" vertical="center"/>
    </xf>
    <xf numFmtId="41" fontId="2" fillId="14" borderId="102" xfId="2" applyFont="1" applyFill="1" applyBorder="1" applyAlignment="1">
      <alignment horizontal="center" vertical="center" wrapText="1"/>
    </xf>
    <xf numFmtId="41" fontId="2" fillId="14" borderId="0" xfId="2" applyFont="1" applyFill="1" applyBorder="1" applyAlignment="1">
      <alignment horizontal="center" vertical="center" wrapText="1"/>
    </xf>
    <xf numFmtId="41" fontId="2" fillId="14" borderId="4" xfId="2" applyFont="1" applyFill="1" applyBorder="1" applyAlignment="1">
      <alignment horizontal="center" vertical="center" wrapText="1"/>
    </xf>
    <xf numFmtId="41" fontId="2" fillId="14" borderId="3" xfId="2" applyFont="1" applyFill="1" applyBorder="1" applyAlignment="1">
      <alignment horizontal="center" vertical="center" wrapText="1"/>
    </xf>
    <xf numFmtId="186" fontId="4" fillId="8" borderId="77" xfId="2" applyNumberFormat="1" applyFont="1" applyFill="1" applyBorder="1" applyAlignment="1">
      <alignment horizontal="center" vertical="center" wrapText="1"/>
    </xf>
    <xf numFmtId="186" fontId="4" fillId="8" borderId="98" xfId="2" applyNumberFormat="1" applyFont="1" applyFill="1" applyBorder="1" applyAlignment="1">
      <alignment horizontal="center" vertical="center" wrapText="1"/>
    </xf>
    <xf numFmtId="186" fontId="4" fillId="8" borderId="100" xfId="2" applyNumberFormat="1" applyFont="1" applyFill="1" applyBorder="1" applyAlignment="1">
      <alignment horizontal="center" vertical="center" wrapText="1"/>
    </xf>
    <xf numFmtId="186" fontId="4" fillId="8" borderId="80" xfId="2" applyNumberFormat="1" applyFont="1" applyFill="1" applyBorder="1" applyAlignment="1">
      <alignment horizontal="center" vertical="center" wrapText="1"/>
    </xf>
    <xf numFmtId="186" fontId="4" fillId="8" borderId="0" xfId="2" applyNumberFormat="1" applyFont="1" applyFill="1" applyBorder="1" applyAlignment="1">
      <alignment horizontal="center" vertical="center" wrapText="1"/>
    </xf>
    <xf numFmtId="186" fontId="4" fillId="8" borderId="68" xfId="2" applyNumberFormat="1" applyFont="1" applyFill="1" applyBorder="1" applyAlignment="1">
      <alignment horizontal="center" vertical="center" wrapText="1"/>
    </xf>
    <xf numFmtId="186" fontId="4" fillId="8" borderId="78" xfId="2" applyNumberFormat="1" applyFont="1" applyFill="1" applyBorder="1" applyAlignment="1">
      <alignment horizontal="center" vertical="center" wrapText="1"/>
    </xf>
    <xf numFmtId="186" fontId="4" fillId="8" borderId="99" xfId="2" applyNumberFormat="1" applyFont="1" applyFill="1" applyBorder="1" applyAlignment="1">
      <alignment horizontal="center" vertical="center" wrapText="1"/>
    </xf>
    <xf numFmtId="186" fontId="4" fillId="8" borderId="101" xfId="2" applyNumberFormat="1" applyFont="1" applyFill="1" applyBorder="1" applyAlignment="1">
      <alignment horizontal="center" vertical="center" wrapText="1"/>
    </xf>
    <xf numFmtId="9" fontId="22" fillId="11" borderId="128" xfId="1" applyNumberFormat="1" applyFont="1" applyFill="1" applyBorder="1" applyAlignment="1">
      <alignment horizontal="right" vertical="center" wrapText="1"/>
    </xf>
  </cellXfs>
  <cellStyles count="6">
    <cellStyle name="백분율" xfId="1" builtinId="5"/>
    <cellStyle name="쉼표 [0]" xfId="2" builtinId="6"/>
    <cellStyle name="쉼표 [0] 2" xfId="5" xr:uid="{DF6409EF-B59A-4D87-8F7F-E72452E6D2F1}"/>
    <cellStyle name="통화 [0]" xfId="3" builtinId="7"/>
    <cellStyle name="표준" xfId="0" builtinId="0"/>
    <cellStyle name="표준 2" xfId="4" xr:uid="{F34D992E-EB8C-484E-8AD3-2479EB7AE82D}"/>
  </cellStyles>
  <dxfs count="401">
    <dxf>
      <font>
        <color rgb="FFFF0000"/>
      </font>
    </dxf>
    <dxf>
      <font>
        <color rgb="FF0000FF"/>
      </font>
    </dxf>
    <dxf>
      <font>
        <color rgb="FF9C0006"/>
      </font>
      <fill>
        <patternFill>
          <bgColor rgb="FFFFC7CE"/>
        </patternFill>
      </fill>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FF0000"/>
      </font>
    </dxf>
    <dxf>
      <font>
        <color rgb="FF0070C0"/>
      </font>
    </dxf>
    <dxf>
      <font>
        <color rgb="FFFF0000"/>
      </font>
    </dxf>
    <dxf>
      <font>
        <color rgb="FF0070C0"/>
      </font>
    </dxf>
    <dxf>
      <font>
        <color rgb="FF0070C0"/>
      </font>
    </dxf>
    <dxf>
      <font>
        <color rgb="FFFF0000"/>
      </font>
    </dxf>
    <dxf>
      <font>
        <color rgb="FFFF0000"/>
      </font>
    </dxf>
    <dxf>
      <font>
        <color rgb="FF0070C0"/>
      </font>
    </dxf>
    <dxf>
      <font>
        <color rgb="FFFF0000"/>
      </font>
    </dxf>
    <dxf>
      <font>
        <color rgb="FF0070C0"/>
      </font>
    </dxf>
    <dxf>
      <font>
        <color rgb="FFFF0000"/>
      </font>
    </dxf>
    <dxf>
      <font>
        <color rgb="FFFF0000"/>
      </font>
    </dxf>
    <dxf>
      <font>
        <color rgb="FF0070C0"/>
      </font>
    </dxf>
    <dxf>
      <font>
        <color rgb="FFFF0000"/>
      </font>
    </dxf>
    <dxf>
      <font>
        <color rgb="FF0070C0"/>
      </font>
    </dxf>
    <dxf>
      <font>
        <color rgb="FFFF0000"/>
      </font>
    </dxf>
    <dxf>
      <font>
        <color rgb="FF0070C0"/>
      </font>
    </dxf>
    <dxf>
      <font>
        <color rgb="FF0070C0"/>
      </font>
    </dxf>
    <dxf>
      <font>
        <color rgb="FFFF0000"/>
      </font>
    </dxf>
    <dxf>
      <font>
        <color rgb="FFFF0000"/>
      </font>
    </dxf>
    <dxf>
      <font>
        <color rgb="FF0070C0"/>
      </font>
    </dxf>
    <dxf>
      <font>
        <color rgb="FFFF0000"/>
      </font>
    </dxf>
    <dxf>
      <font>
        <color rgb="FFFF0000"/>
      </font>
    </dxf>
    <dxf>
      <font>
        <color rgb="FF0070C0"/>
      </font>
    </dxf>
    <dxf>
      <font>
        <color rgb="FF0070C0"/>
      </font>
    </dxf>
    <dxf>
      <font>
        <color rgb="FF0070C0"/>
      </font>
    </dxf>
    <dxf>
      <font>
        <color rgb="FFFF0000"/>
      </font>
    </dxf>
    <dxf>
      <font>
        <color rgb="FF0070C0"/>
      </font>
    </dxf>
    <dxf>
      <font>
        <color rgb="FFFF0000"/>
      </font>
    </dxf>
    <dxf>
      <font>
        <color rgb="FF0070C0"/>
      </font>
    </dxf>
    <dxf>
      <font>
        <color rgb="FFFF0000"/>
      </font>
    </dxf>
    <dxf>
      <font>
        <color rgb="FFFF0000"/>
      </font>
    </dxf>
    <dxf>
      <font>
        <color rgb="FF0070C0"/>
      </font>
    </dxf>
    <dxf>
      <font>
        <color rgb="FF0070C0"/>
      </font>
    </dxf>
    <dxf>
      <font>
        <color rgb="FFFF0000"/>
      </font>
    </dxf>
    <dxf>
      <font>
        <color rgb="FFFF0000"/>
      </font>
    </dxf>
    <dxf>
      <font>
        <color rgb="FF0070C0"/>
      </font>
    </dxf>
    <dxf>
      <font>
        <color rgb="FFFF0000"/>
      </font>
    </dxf>
    <dxf>
      <font>
        <color rgb="FFFF0000"/>
      </font>
    </dxf>
    <dxf>
      <font>
        <color rgb="FF0070C0"/>
      </font>
    </dxf>
    <dxf>
      <font>
        <color rgb="FF0070C0"/>
      </font>
    </dxf>
    <dxf>
      <font>
        <color rgb="FFFF0000"/>
      </font>
    </dxf>
    <dxf>
      <font>
        <color rgb="FF0070C0"/>
      </font>
    </dxf>
    <dxf>
      <font>
        <color rgb="FFFF000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FF0000"/>
      </font>
    </dxf>
    <dxf>
      <font>
        <color rgb="FF0070C0"/>
      </font>
    </dxf>
    <dxf>
      <font>
        <color rgb="FF0070C0"/>
      </font>
    </dxf>
    <dxf>
      <font>
        <color rgb="FFFF0000"/>
      </font>
    </dxf>
    <dxf>
      <font>
        <color rgb="FF0070C0"/>
      </font>
    </dxf>
    <dxf>
      <font>
        <color rgb="FFFF0000"/>
      </font>
    </dxf>
    <dxf>
      <font>
        <color rgb="FF0070C0"/>
      </font>
    </dxf>
    <dxf>
      <font>
        <color rgb="FFFF000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FF0000"/>
      </font>
    </dxf>
    <dxf>
      <font>
        <color rgb="FF0070C0"/>
      </font>
    </dxf>
    <dxf>
      <font>
        <color rgb="FFFF0000"/>
      </font>
    </dxf>
    <dxf>
      <font>
        <color rgb="FF0070C0"/>
      </font>
    </dxf>
    <dxf>
      <font>
        <color rgb="FFFF0000"/>
      </font>
    </dxf>
    <dxf>
      <font>
        <color rgb="FF0070C0"/>
      </font>
    </dxf>
    <dxf>
      <font>
        <color rgb="FF0070C0"/>
      </font>
    </dxf>
    <dxf>
      <font>
        <color rgb="FFFF0000"/>
      </font>
    </dxf>
    <dxf>
      <font>
        <color rgb="FFFF0000"/>
      </font>
    </dxf>
    <dxf>
      <font>
        <color rgb="FF0070C0"/>
      </font>
    </dxf>
    <dxf>
      <font>
        <color rgb="FF0070C0"/>
      </font>
    </dxf>
    <dxf>
      <font>
        <color rgb="FFFF0000"/>
      </font>
    </dxf>
    <dxf>
      <font>
        <color rgb="FFFF0000"/>
      </font>
    </dxf>
    <dxf>
      <font>
        <color rgb="FF0070C0"/>
      </font>
    </dxf>
    <dxf>
      <font>
        <color rgb="FF0070C0"/>
      </font>
    </dxf>
    <dxf>
      <font>
        <color rgb="FFFF0000"/>
      </font>
    </dxf>
    <dxf>
      <font>
        <color rgb="FF0070C0"/>
      </font>
    </dxf>
    <dxf>
      <font>
        <color rgb="FFFF0000"/>
      </font>
    </dxf>
    <dxf>
      <font>
        <color rgb="FF0070C0"/>
      </font>
    </dxf>
    <dxf>
      <font>
        <color rgb="FFFF0000"/>
      </font>
    </dxf>
    <dxf>
      <font>
        <color rgb="FFFF0000"/>
      </font>
    </dxf>
    <dxf>
      <font>
        <color rgb="FF0070C0"/>
      </font>
    </dxf>
    <dxf>
      <font>
        <color rgb="FFFF0000"/>
      </font>
    </dxf>
    <dxf>
      <font>
        <color rgb="FF0070C0"/>
      </font>
    </dxf>
    <dxf>
      <font>
        <color rgb="FF0070C0"/>
      </font>
    </dxf>
    <dxf>
      <font>
        <color rgb="FFFF0000"/>
      </font>
    </dxf>
    <dxf>
      <font>
        <color rgb="FFFF0000"/>
      </font>
    </dxf>
    <dxf>
      <font>
        <color rgb="FF0070C0"/>
      </font>
    </dxf>
    <dxf>
      <font>
        <color rgb="FF0070C0"/>
      </font>
    </dxf>
    <dxf>
      <font>
        <color rgb="FFFF0000"/>
      </font>
    </dxf>
    <dxf>
      <font>
        <color rgb="FFFF0000"/>
      </font>
    </dxf>
    <dxf>
      <font>
        <color rgb="FF0070C0"/>
      </font>
    </dxf>
    <dxf>
      <font>
        <color rgb="FFFF0000"/>
      </font>
    </dxf>
    <dxf>
      <font>
        <color rgb="FF0070C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FF0000"/>
      </font>
    </dxf>
    <dxf>
      <font>
        <color rgb="FF0070C0"/>
      </font>
    </dxf>
    <dxf>
      <font>
        <color rgb="FFFF0000"/>
      </font>
    </dxf>
    <dxf>
      <font>
        <color rgb="FF0070C0"/>
      </font>
    </dxf>
    <dxf>
      <font>
        <color rgb="FF0070C0"/>
      </font>
    </dxf>
    <dxf>
      <font>
        <color rgb="FFFF0000"/>
      </font>
    </dxf>
    <dxf>
      <font>
        <color rgb="FF0070C0"/>
      </font>
    </dxf>
    <dxf>
      <font>
        <color rgb="FFFF0000"/>
      </font>
    </dxf>
    <dxf>
      <font>
        <color rgb="FFFF0000"/>
      </font>
    </dxf>
    <dxf>
      <font>
        <color rgb="FF0070C0"/>
      </font>
    </dxf>
    <dxf>
      <font>
        <color rgb="FFFF0000"/>
      </font>
    </dxf>
    <dxf>
      <font>
        <color rgb="FF0070C0"/>
      </font>
    </dxf>
    <dxf>
      <font>
        <color rgb="FFFF0000"/>
      </font>
    </dxf>
    <dxf>
      <font>
        <color rgb="FF0070C0"/>
      </font>
    </dxf>
    <dxf>
      <font>
        <color rgb="FF0070C0"/>
      </font>
    </dxf>
    <dxf>
      <font>
        <color rgb="FFFF0000"/>
      </font>
    </dxf>
    <dxf>
      <font>
        <color rgb="FFFF0000"/>
      </font>
    </dxf>
    <dxf>
      <font>
        <color rgb="FF0070C0"/>
      </font>
    </dxf>
    <dxf>
      <font>
        <color rgb="FF0070C0"/>
      </font>
    </dxf>
    <dxf>
      <font>
        <color rgb="FFFF0000"/>
      </font>
    </dxf>
    <dxf>
      <font>
        <color rgb="FF0070C0"/>
      </font>
    </dxf>
    <dxf>
      <font>
        <color rgb="FFFF0000"/>
      </font>
    </dxf>
    <dxf>
      <font>
        <color rgb="FFFF0000"/>
      </font>
    </dxf>
    <dxf>
      <font>
        <color rgb="FF0070C0"/>
      </font>
    </dxf>
    <dxf>
      <font>
        <color rgb="FF0070C0"/>
      </font>
    </dxf>
    <dxf>
      <font>
        <color rgb="FFFF0000"/>
      </font>
    </dxf>
    <dxf>
      <font>
        <color rgb="FFFF0000"/>
      </font>
    </dxf>
    <dxf>
      <font>
        <color rgb="FF0070C0"/>
      </font>
    </dxf>
    <dxf>
      <font>
        <color rgb="FF0070C0"/>
      </font>
    </dxf>
    <dxf>
      <font>
        <color rgb="FFFF0000"/>
      </font>
    </dxf>
    <dxf>
      <font>
        <color rgb="FF0070C0"/>
      </font>
    </dxf>
    <dxf>
      <font>
        <color rgb="FFFF0000"/>
      </font>
    </dxf>
    <dxf>
      <font>
        <color rgb="FFFF0000"/>
      </font>
    </dxf>
    <dxf>
      <font>
        <color rgb="FF0070C0"/>
      </font>
    </dxf>
    <dxf>
      <font>
        <color rgb="FFFF0000"/>
      </font>
    </dxf>
    <dxf>
      <font>
        <color rgb="FF0070C0"/>
      </font>
    </dxf>
    <dxf>
      <font>
        <color rgb="FFFF0000"/>
      </font>
    </dxf>
    <dxf>
      <font>
        <color rgb="FF0070C0"/>
      </font>
    </dxf>
    <dxf>
      <font>
        <color rgb="FF0070C0"/>
      </font>
    </dxf>
    <dxf>
      <font>
        <color rgb="FFFF0000"/>
      </font>
    </dxf>
    <dxf>
      <font>
        <color rgb="FFFF0000"/>
      </font>
    </dxf>
    <dxf>
      <font>
        <color rgb="FF0070C0"/>
      </font>
    </dxf>
    <dxf>
      <font>
        <color rgb="FFFF0000"/>
      </font>
    </dxf>
    <dxf>
      <font>
        <color rgb="FF0070C0"/>
      </font>
    </dxf>
    <dxf>
      <font>
        <color rgb="FF0070C0"/>
      </font>
    </dxf>
    <dxf>
      <font>
        <color rgb="FFFF0000"/>
      </font>
    </dxf>
    <dxf>
      <font>
        <color rgb="FFFF0000"/>
      </font>
    </dxf>
    <dxf>
      <font>
        <color rgb="FF0070C0"/>
      </font>
    </dxf>
    <dxf>
      <font>
        <color rgb="FF0070C0"/>
      </font>
    </dxf>
    <dxf>
      <font>
        <color rgb="FFFF0000"/>
      </font>
    </dxf>
    <dxf>
      <font>
        <color rgb="FF0070C0"/>
      </font>
    </dxf>
    <dxf>
      <font>
        <color rgb="FFFF0000"/>
      </font>
    </dxf>
    <dxf>
      <font>
        <color rgb="FFFF0000"/>
      </font>
    </dxf>
    <dxf>
      <font>
        <color rgb="FF0070C0"/>
      </font>
    </dxf>
    <dxf>
      <font>
        <color rgb="FF0070C0"/>
      </font>
    </dxf>
    <dxf>
      <font>
        <color rgb="FFFF0000"/>
      </font>
    </dxf>
    <dxf>
      <font>
        <color rgb="FF0070C0"/>
      </font>
    </dxf>
    <dxf>
      <font>
        <color rgb="FFFF0000"/>
      </font>
    </dxf>
    <dxf>
      <font>
        <color rgb="FF0070C0"/>
      </font>
    </dxf>
    <dxf>
      <font>
        <color rgb="FFFF000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0070C0"/>
      </font>
    </dxf>
    <dxf>
      <font>
        <color rgb="FFFF0000"/>
      </font>
    </dxf>
    <dxf>
      <font>
        <color rgb="FF0070C0"/>
      </font>
    </dxf>
    <dxf>
      <font>
        <color rgb="FFFF0000"/>
      </font>
    </dxf>
    <dxf>
      <font>
        <color rgb="FF0070C0"/>
      </font>
    </dxf>
    <dxf>
      <font>
        <color rgb="FFFF000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0070C0"/>
      </font>
    </dxf>
    <dxf>
      <font>
        <color rgb="FFFF0000"/>
      </font>
    </dxf>
    <dxf>
      <font>
        <color rgb="FFFF0000"/>
      </font>
    </dxf>
    <dxf>
      <font>
        <color rgb="FF0070C0"/>
      </font>
    </dxf>
    <dxf>
      <font>
        <color rgb="FF0070C0"/>
      </font>
    </dxf>
    <dxf>
      <font>
        <color rgb="FFFF0000"/>
      </font>
    </dxf>
    <dxf>
      <font>
        <color rgb="FFFF0000"/>
      </font>
    </dxf>
    <dxf>
      <font>
        <color rgb="FF0070C0"/>
      </font>
    </dxf>
    <dxf>
      <font>
        <color rgb="FFFF0000"/>
      </font>
    </dxf>
    <dxf>
      <font>
        <color rgb="FF0070C0"/>
      </font>
    </dxf>
    <dxf>
      <font>
        <color rgb="FFFF0000"/>
      </font>
    </dxf>
    <dxf>
      <font>
        <color rgb="FF0070C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FF0000"/>
      </font>
    </dxf>
    <dxf>
      <font>
        <color rgb="FF0070C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FF0000"/>
      </font>
    </dxf>
    <dxf>
      <font>
        <color rgb="FF0070C0"/>
      </font>
    </dxf>
    <dxf>
      <font>
        <color rgb="FF0070C0"/>
      </font>
    </dxf>
    <dxf>
      <font>
        <color rgb="FFFF0000"/>
      </font>
    </dxf>
    <dxf>
      <font>
        <color rgb="FF0070C0"/>
      </font>
    </dxf>
    <dxf>
      <font>
        <color rgb="FFFF0000"/>
      </font>
    </dxf>
    <dxf>
      <font>
        <color rgb="FFFF0000"/>
      </font>
    </dxf>
    <dxf>
      <font>
        <color rgb="FF0070C0"/>
      </font>
    </dxf>
    <dxf>
      <font>
        <color rgb="FFFF0000"/>
      </font>
    </dxf>
    <dxf>
      <font>
        <color rgb="FF0070C0"/>
      </font>
    </dxf>
    <dxf>
      <font>
        <color rgb="FFFF0000"/>
      </font>
    </dxf>
    <dxf>
      <font>
        <color rgb="FF0070C0"/>
      </font>
    </dxf>
    <dxf>
      <font>
        <color rgb="FF0070C0"/>
      </font>
    </dxf>
    <dxf>
      <font>
        <color rgb="FFFF0000"/>
      </font>
    </dxf>
    <dxf>
      <font>
        <color rgb="FFFF0000"/>
      </font>
    </dxf>
    <dxf>
      <font>
        <color rgb="FF0070C0"/>
      </font>
    </dxf>
    <dxf>
      <font>
        <color rgb="FFFF0000"/>
      </font>
    </dxf>
    <dxf>
      <font>
        <color rgb="FF0070C0"/>
      </font>
    </dxf>
    <dxf>
      <font>
        <color rgb="FF0070C0"/>
      </font>
    </dxf>
    <dxf>
      <font>
        <color rgb="FFFF0000"/>
      </font>
    </dxf>
    <dxf>
      <font>
        <color rgb="FF0070C0"/>
      </font>
    </dxf>
    <dxf>
      <font>
        <color rgb="FFFF0000"/>
      </font>
    </dxf>
    <dxf>
      <font>
        <color rgb="FFFF0000"/>
      </font>
    </dxf>
    <dxf>
      <font>
        <color rgb="FF0070C0"/>
      </font>
    </dxf>
    <dxf>
      <font>
        <color rgb="FFFF0000"/>
      </font>
    </dxf>
    <dxf>
      <font>
        <color rgb="FF0070C0"/>
      </font>
    </dxf>
    <dxf>
      <font>
        <color rgb="FF0070C0"/>
      </font>
    </dxf>
    <dxf>
      <font>
        <color rgb="FF9C0006"/>
      </font>
      <fill>
        <patternFill>
          <bgColor rgb="FFFFC7CE"/>
        </patternFill>
      </fill>
    </dxf>
    <dxf>
      <font>
        <color rgb="FF9C0006"/>
      </font>
      <fill>
        <patternFill>
          <bgColor rgb="FFFFC7CE"/>
        </patternFill>
      </fill>
    </dxf>
    <dxf>
      <font>
        <color rgb="FF0070C0"/>
      </font>
    </dxf>
    <dxf>
      <font>
        <color rgb="FF9C0006"/>
      </font>
      <fill>
        <patternFill>
          <bgColor rgb="FFFFC7CE"/>
        </patternFill>
      </fill>
    </dxf>
    <dxf>
      <font>
        <color rgb="FF0070C0"/>
      </font>
    </dxf>
    <dxf>
      <font>
        <color rgb="FF9C0006"/>
      </font>
      <fill>
        <patternFill>
          <bgColor rgb="FFFFC7CE"/>
        </patternFill>
      </fill>
    </dxf>
    <dxf>
      <font>
        <color rgb="FF0070C0"/>
      </font>
    </dxf>
    <dxf>
      <font>
        <color rgb="FF0070C0"/>
      </font>
    </dxf>
    <dxf>
      <font>
        <color rgb="FF9C0006"/>
      </font>
      <fill>
        <patternFill>
          <bgColor rgb="FFFFC7CE"/>
        </patternFill>
      </fill>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theme="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theme="0"/>
      </font>
    </dxf>
    <dxf>
      <font>
        <color theme="0"/>
      </font>
    </dxf>
    <dxf>
      <font>
        <color theme="0"/>
      </font>
    </dxf>
    <dxf>
      <font>
        <color rgb="FF9C0006"/>
      </font>
      <fill>
        <patternFill>
          <bgColor rgb="FFFFC7CE"/>
        </patternFill>
      </fill>
    </dxf>
    <dxf>
      <font>
        <color theme="0"/>
      </font>
    </dxf>
  </dxfs>
  <tableStyles count="0" defaultTableStyle="TableStyleMedium2" defaultPivotStyle="PivotStyleLight16"/>
  <colors>
    <mruColors>
      <color rgb="FF0000FF"/>
      <color rgb="FFCFCA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서정민" id="{ACCAD60D-E6F4-4B1A-A6FC-1948F7D84408}" userId="S::jmseo@classys.com::0d72b9fc-4523-437c-8367-358318a34c93" providerId="AD"/>
</personList>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9" dT="2025-11-09T04:40:46.28" personId="{ACCAD60D-E6F4-4B1A-A6FC-1948F7D84408}" id="{9785C506-FF35-471A-8860-1BC165091480}">
    <text xml:space="preserve">1Q25부터 기존 '기타금융자산' 항목이 현재 '기타채권'로 합산되었습니다.
The previous "Other Financial Assets" category has since 1Q25 been consolidated into "Other Receivables."
</text>
  </threadedComment>
  <threadedComment ref="BB9" dT="2025-07-11T07:20:42.57" personId="{ACCAD60D-E6F4-4B1A-A6FC-1948F7D84408}" id="{B405E5B7-B2FB-4891-A45E-1203048076CE}">
    <text>받을어음 39백만원 포함</text>
  </threadedComment>
  <threadedComment ref="CC9" dT="2025-05-09T07:17:25.16" personId="{ACCAD60D-E6F4-4B1A-A6FC-1948F7D84408}" id="{DBC6651E-9103-4DBA-B3F4-83765BD5B851}">
    <text xml:space="preserve">1Q25부터 기존 '기타금융자산' 항목이 현재 '기타채권'로 합산되었습니다.
The previous "Other Financial Assets" category has since 1Q25 been consolidated into "Other Receivables."
</text>
  </threadedComment>
  <threadedComment ref="CF9" dT="2025-05-09T07:17:25.16" personId="{ACCAD60D-E6F4-4B1A-A6FC-1948F7D84408}" id="{66249436-EFA7-47C7-AA9F-616594C29403}">
    <text>1Q25부터 기존 '기타금융자산' 항목이 현재 '기타채권'로 합산되었습니다.
The previous "Other Financial Assets" category has since 1Q25 been consolidated into "Other Receivables."</text>
  </threadedComment>
  <threadedComment ref="CI9" dT="2025-05-09T07:17:25.16" personId="{ACCAD60D-E6F4-4B1A-A6FC-1948F7D84408}" id="{E9535F5E-E242-4B01-9B20-6EBFD74487BD}">
    <text>1Q25부터 기존 '기타금융자산' 항목이 현재 '기타채권'로 합산되었습니다.
The previous "Other Financial Assets" category has since 1Q25 been consolidated into "Other Receivables."</text>
  </threadedComment>
  <threadedComment ref="CO9" dT="2025-05-09T07:17:25.16" personId="{ACCAD60D-E6F4-4B1A-A6FC-1948F7D84408}" id="{EE2A5128-71BA-4207-ADC6-73B186045CF4}">
    <text xml:space="preserve">1Q25부터 기존 '기타금융자산' 항목이 현재 '기타채권'로 합산되었습니다.
The previous "Other Financial Assets" category has since 1Q25 been consolidated into "Other Receivables."
</text>
  </threadedComment>
  <threadedComment ref="CR9" dT="2025-05-09T07:17:25.16" personId="{ACCAD60D-E6F4-4B1A-A6FC-1948F7D84408}" id="{EA466ACC-13A7-4BF0-9BE4-BC2318068F83}">
    <text xml:space="preserve">1Q25부터 기존 '기타금융자산' 항목이 현재 '기타채권'로 합산되었습니다.
The previous "Other Financial Assets" category has since 1Q25 been consolidated into "Other Receivables."
</text>
  </threadedComment>
  <threadedComment ref="CU9" dT="2025-05-09T07:17:25.16" personId="{ACCAD60D-E6F4-4B1A-A6FC-1948F7D84408}" id="{4C8FDF97-2707-48B2-9294-0698AFCE3307}">
    <text xml:space="preserve">1Q25부터 기존 '기타금융자산' 항목이 현재 '기타채권'로 합산되었습니다.
The previous "Other Financial Assets" category has since 1Q25 been consolidated into "Other Receivables."
</text>
  </threadedComment>
  <threadedComment ref="CX9" dT="2025-05-09T07:17:25.16" personId="{ACCAD60D-E6F4-4B1A-A6FC-1948F7D84408}" id="{AE49593D-AEF8-4B7D-B8A7-DA554072083C}">
    <text xml:space="preserve">1Q25부터 기존 '기타금융자산' 항목이 현재 '기타채권'로 합산되었습니다.
The previous "Other Financial Assets" category has since 1Q25 been consolidated into "Other Receivables."
</text>
  </threadedComment>
  <threadedComment ref="C11" dT="2025-11-09T04:40:41.14" personId="{ACCAD60D-E6F4-4B1A-A6FC-1948F7D84408}" id="{7867A22F-7FB6-4840-8468-51864A21898C}">
    <text xml:space="preserve">1Q25부터 기존 '기타금융자산' 항목이 현재 '기타채권'로 합산되었습니다.
The previous "Other Financial Assets" category has since 1Q25 been consolidated into "Other Receivables."
</text>
  </threadedComment>
  <threadedComment ref="CC11" dT="2025-05-09T07:17:34.84" personId="{ACCAD60D-E6F4-4B1A-A6FC-1948F7D84408}" id="{F0A016D4-7766-45A9-8286-17D65AAD55FE}">
    <text xml:space="preserve">1Q25부터 기존 '기타금융자산' 항목이 현재 '기타채권'로 합산되었습니다.
The previous "Other Financial Assets" category has since 1Q25 been consolidated into "Other Receivables."
</text>
  </threadedComment>
  <threadedComment ref="CF11" dT="2025-05-09T07:17:34.84" personId="{ACCAD60D-E6F4-4B1A-A6FC-1948F7D84408}" id="{7BD38D1E-42D3-415D-9C83-5015887E1C61}">
    <text xml:space="preserve">1Q25부터 기존 '기타금융자산' 항목이 현재 '기타채권'로 합산되었습니다.
The previous "Other Financial Assets" category has since 1Q25 been consolidated into "Other Receivables."
</text>
  </threadedComment>
  <threadedComment ref="CI11" dT="2025-05-09T07:17:34.84" personId="{ACCAD60D-E6F4-4B1A-A6FC-1948F7D84408}" id="{6108F04A-54AA-491C-B813-ED1075260CA9}">
    <text xml:space="preserve">1Q25부터 기존 '기타금융자산' 항목이 현재 '기타채권'로 합산되었습니다.
The previous "Other Financial Assets" category has since 1Q25 been consolidated into "Other Receivables."
</text>
  </threadedComment>
  <threadedComment ref="CL11" dT="2025-05-09T07:17:34.84" personId="{ACCAD60D-E6F4-4B1A-A6FC-1948F7D84408}" id="{FB4CB23A-A6D7-481C-B7FE-5235CE6BE430}">
    <text xml:space="preserve">1Q25부터 기존 '기타금융자산' 항목이 현재 '기타채권'로 합산되었습니다.
The previous "Other Financial Assets" category has since 1Q25 been consolidated into "Other Receivables."
</text>
  </threadedComment>
  <threadedComment ref="CO11" dT="2025-05-09T07:17:34.84" personId="{ACCAD60D-E6F4-4B1A-A6FC-1948F7D84408}" id="{08A5D180-2F9A-4F62-8091-2EFB6AF43198}">
    <text xml:space="preserve">1Q25부터 기존 '기타금융자산' 항목이 현재 '기타채권'로 합산되었습니다.
The previous "Other Financial Assets" category has since 1Q25 been consolidated into "Other Receivables."
</text>
  </threadedComment>
  <threadedComment ref="CR11" dT="2025-05-09T07:17:34.84" personId="{ACCAD60D-E6F4-4B1A-A6FC-1948F7D84408}" id="{C0F2E8C8-B99A-4F07-887A-504565BDC79E}">
    <text xml:space="preserve">1Q25부터 기존 '기타금융자산' 항목이 현재 '기타채권'로 합산되었습니다.
The previous "Other Financial Assets" category has since 1Q25 been consolidated into "Other Receivables."
</text>
  </threadedComment>
  <threadedComment ref="CU11" dT="2025-05-09T07:17:34.84" personId="{ACCAD60D-E6F4-4B1A-A6FC-1948F7D84408}" id="{5CAEFC1C-080B-4527-B517-71C0BAD31BE4}">
    <text xml:space="preserve">1Q25부터 기존 '기타금융자산' 항목이 현재 '기타채권'로 합산되었습니다.
The previous "Other Financial Assets" category has since 1Q25 been consolidated into "Other Receivables."
</text>
  </threadedComment>
  <threadedComment ref="CX11" dT="2025-05-09T07:17:34.84" personId="{ACCAD60D-E6F4-4B1A-A6FC-1948F7D84408}" id="{14ECC8EE-5CE6-47F5-A500-0715FCB411CB}">
    <text xml:space="preserve">1Q25부터 기존 '기타금융자산' 항목이 현재 '기타채권'로 합산되었습니다.
The previous "Other Financial Assets" category has since 1Q25 been consolidated into "Other Receivables."
</text>
  </threadedComment>
  <threadedComment ref="C30" dT="2025-11-09T04:40:18.53" personId="{ACCAD60D-E6F4-4B1A-A6FC-1948F7D84408}" id="{97EBB69F-0417-47A1-9C9B-2A5181EC23E5}">
    <text xml:space="preserve">1Q25 부터 기존 '기타금융부채' 항목이 현재 '기타채무'로 합산되었습니다.
The previous "Other Financial Liabilities" category has since 1Q25 been consolidated into "Other Liabilities."
</text>
  </threadedComment>
  <threadedComment ref="CC30" dT="2025-08-01T01:46:18.67" personId="{ACCAD60D-E6F4-4B1A-A6FC-1948F7D84408}" id="{8110D24A-E566-4B96-AC84-E2143C9ED3E8}">
    <text xml:space="preserve">1Q25 부터 기존 '기타금융부채' 항목이 현재 '기타채무'로 합산되었습니다.
The previous "Other Financial Liabilities" category has since 1Q25 been consolidated into "Other Liabilities."
</text>
  </threadedComment>
  <threadedComment ref="CF30" dT="2025-08-01T01:46:21.71" personId="{ACCAD60D-E6F4-4B1A-A6FC-1948F7D84408}" id="{7078CB20-2AAF-4561-8CF3-72BEF9B03D07}">
    <text xml:space="preserve">1Q25 부터 기존 '기타금융부채' 항목이 현재 '기타채무'로 합산되었습니다.
The previous "Other Financial Liabilities" category has since 1Q25 been consolidated into "Other Liabilities."
</text>
  </threadedComment>
  <threadedComment ref="CI30" dT="2025-08-01T01:46:21.71" personId="{ACCAD60D-E6F4-4B1A-A6FC-1948F7D84408}" id="{2B6B770B-7276-4A36-8A7D-8695C402EC11}">
    <text xml:space="preserve">1Q25 부터 기존 '기타금융부채' 항목이 현재 '기타채무'로 합산되었습니다.
The previous "Other Financial Liabilities" category has since 1Q25 been consolidated into "Other Liabilities."
</text>
  </threadedComment>
  <threadedComment ref="CL30" dT="2025-08-01T01:46:21.71" personId="{ACCAD60D-E6F4-4B1A-A6FC-1948F7D84408}" id="{D40D0315-86BE-419D-B36B-ABF39F896159}">
    <text xml:space="preserve">1Q25 부터 기존 '기타금융부채' 항목이 현재 '기타채무'로 합산되었습니다.
The previous "Other Financial Liabilities" category has since 1Q25 been consolidated into "Other Liabilities."
</text>
  </threadedComment>
  <threadedComment ref="CO30" dT="2025-08-01T01:46:18.67" personId="{ACCAD60D-E6F4-4B1A-A6FC-1948F7D84408}" id="{77657B5E-1864-4F19-B6DC-F8022D29BE52}">
    <text xml:space="preserve">1Q25 부터 기존 '기타금융부채' 항목이 현재 '기타채무'로 합산되었습니다.
The previous "Other Financial Liabilities" category has since 1Q25 been consolidated into "Other Liabilities."
</text>
  </threadedComment>
  <threadedComment ref="CR30" dT="2025-08-01T01:46:18.67" personId="{ACCAD60D-E6F4-4B1A-A6FC-1948F7D84408}" id="{71CD3AED-5346-4A4E-B8E2-7AAAAFC6AA3A}">
    <text xml:space="preserve">1Q25 부터 기존 '기타금융부채' 항목이 현재 '기타채무'로 합산되었습니다.
The previous "Other Financial Liabilities" category has since 1Q25 been consolidated into "Other Liabilities."
</text>
  </threadedComment>
  <threadedComment ref="CU30" dT="2025-08-01T01:46:18.67" personId="{ACCAD60D-E6F4-4B1A-A6FC-1948F7D84408}" id="{1B3C1BD0-5C21-4000-BF88-74828B856BA9}">
    <text xml:space="preserve">1Q25 부터 기존 '기타금융부채' 항목이 현재 '기타채무'로 합산되었습니다.
The previous "Other Financial Liabilities" category has since 1Q25 been consolidated into "Other Liabilities."
</text>
  </threadedComment>
  <threadedComment ref="CX30" dT="2025-08-01T01:46:18.67" personId="{ACCAD60D-E6F4-4B1A-A6FC-1948F7D84408}" id="{C48F00DD-9617-4A0A-AE39-7E69134D1C03}">
    <text xml:space="preserve">1Q25 부터 기존 '기타금융부채' 항목이 현재 '기타채무'로 합산되었습니다.
The previous "Other Financial Liabilities" category has since 1Q25 been consolidated into "Other Liabilities."
</text>
  </threadedComment>
  <threadedComment ref="C33" dT="2025-11-09T04:40:29.11" personId="{ACCAD60D-E6F4-4B1A-A6FC-1948F7D84408}" id="{C48F8158-7E36-4778-B251-0A1ECEF3A752}">
    <text xml:space="preserve">1Q25 부터 기존 '기타금융부채' 항목이 현재 '기타채무'로 합산되었습니다.
The previous "Other Financial Liabilities" category has since 1Q25 been consolidated into "Other Liabilities."
</text>
  </threadedComment>
  <threadedComment ref="CC33" dT="2025-05-09T07:17:10.01" personId="{ACCAD60D-E6F4-4B1A-A6FC-1948F7D84408}" id="{CA2A8730-3E3B-459D-B13D-C522E732B782}">
    <text xml:space="preserve">1Q25 부터 기존 '기타금융부채' 항목이 현재 '기타채무'로 합산되었습니다.
The previous "Other Financial Liabilities" category has since 1Q25 been consolidated into "Other Liabilities."
</text>
  </threadedComment>
  <threadedComment ref="CF33" dT="2025-05-09T07:17:10.01" personId="{ACCAD60D-E6F4-4B1A-A6FC-1948F7D84408}" id="{6EC75C76-E6EF-4DC7-BF42-BD8598BB3D8E}">
    <text xml:space="preserve">1Q25 부터 기존 '기타금융부채' 항목이 현재 '기타채무'로 합산되었습니다.
The previous "Other Financial Liabilities" category has since 1Q25 been consolidated into "Other Liabilities."
</text>
  </threadedComment>
  <threadedComment ref="CI33" dT="2025-05-09T07:17:10.01" personId="{ACCAD60D-E6F4-4B1A-A6FC-1948F7D84408}" id="{2476AB0D-2ED6-4E45-8DCE-A43B5A4B1392}">
    <text xml:space="preserve">1Q25 부터 기존 '기타금융부채' 항목이 현재 '기타채무'로 합산되었습니다.
The previous "Other Financial Liabilities" category has since 1Q25 been consolidated into "Other Liabilities."
</text>
  </threadedComment>
  <threadedComment ref="CL33" dT="2025-05-09T07:17:10.01" personId="{ACCAD60D-E6F4-4B1A-A6FC-1948F7D84408}" id="{CCF0FDB5-C539-4359-850C-A14221D7403A}">
    <text xml:space="preserve">1Q25 부터 기존 '기타금융부채' 항목이 현재 '기타채무'로 합산되었습니다.
The previous "Other Financial Liabilities" category has since 1Q25 been consolidated into "Other Liabilities."
</text>
  </threadedComment>
  <threadedComment ref="CO33" dT="2025-05-09T07:17:10.01" personId="{ACCAD60D-E6F4-4B1A-A6FC-1948F7D84408}" id="{3F2AD36D-7B02-49BB-816E-2F10B8C3D88C}">
    <text xml:space="preserve">1Q25 부터 기존 '기타금융부채' 항목이 현재 '기타채무'로 합산되었습니다.
The previous "Other Financial Liabilities" category has since 1Q25 been consolidated into "Other Liabilities."
</text>
  </threadedComment>
  <threadedComment ref="CR33" dT="2025-05-09T07:17:10.01" personId="{ACCAD60D-E6F4-4B1A-A6FC-1948F7D84408}" id="{8CB513E7-8EEC-416F-9C6D-B1FE9D58D49D}">
    <text xml:space="preserve">1Q25 부터 기존 '기타금융부채' 항목이 현재 '기타채무'로 합산되었습니다.
The previous "Other Financial Liabilities" category has since 1Q25 been consolidated into "Other Liabilities."
</text>
  </threadedComment>
  <threadedComment ref="CU33" dT="2025-05-09T07:17:10.01" personId="{ACCAD60D-E6F4-4B1A-A6FC-1948F7D84408}" id="{CFD52D09-2B5F-418C-85ED-40E8A5E5CBE6}">
    <text xml:space="preserve">1Q25 부터 기존 '기타금융부채' 항목이 현재 '기타채무'로 합산되었습니다.
The previous "Other Financial Liabilities" category has since 1Q25 been consolidated into "Other Liabilities."
</text>
  </threadedComment>
  <threadedComment ref="CX33" dT="2025-05-09T07:17:10.01" personId="{ACCAD60D-E6F4-4B1A-A6FC-1948F7D84408}" id="{EA93978E-DFA2-4847-8228-45704371363A}">
    <text xml:space="preserve">1Q25 부터 기존 '기타금융부채' 항목이 현재 '기타채무'로 합산되었습니다.
The previous "Other Financial Liabilities" category has since 1Q25 been consolidated into "Other Liabilities."
</text>
  </threadedComment>
  <threadedComment ref="CC45" dT="2025-05-09T07:17:10.01" personId="{ACCAD60D-E6F4-4B1A-A6FC-1948F7D84408}" id="{C90348E1-3CB7-4150-B3EA-66D3A588A481}">
    <text xml:space="preserve">1Q25 부터 기존 '기타금융부채' 항목이 현재 '기타채무'로 합산되었습니다.
The previous "Other Financial Liabilities" category has since 1Q25 been consolidated into "Other Liabilities."
</text>
  </threadedComment>
  <threadedComment ref="CF45" dT="2025-05-09T07:17:10.01" personId="{ACCAD60D-E6F4-4B1A-A6FC-1948F7D84408}" id="{0C258355-F276-40D5-868B-5E5DB974B1C7}">
    <text xml:space="preserve">1Q25 부터 기존 '기타금융부채' 항목이 현재 '기타채무'로 합산되었습니다.
The previous "Other Financial Liabilities" category has since 1Q25 been consolidated into "Other Liabilities."
</text>
  </threadedComment>
  <threadedComment ref="CI45" dT="2025-05-09T07:17:10.01" personId="{ACCAD60D-E6F4-4B1A-A6FC-1948F7D84408}" id="{460C08D1-96D4-4C42-94C6-7470E1AA14CC}">
    <text xml:space="preserve">1Q25 부터 기존 '기타금융부채' 항목이 현재 '기타채무'로 합산되었습니다.
The previous "Other Financial Liabilities" category has since 1Q25 been consolidated into "Other Liabilities."
</text>
  </threadedComment>
  <threadedComment ref="CL45" dT="2025-05-09T07:17:10.01" personId="{ACCAD60D-E6F4-4B1A-A6FC-1948F7D84408}" id="{3C3294B8-F428-4CE1-AD79-C21D0C3BDC43}">
    <text xml:space="preserve">1Q25 부터 기존 '기타금융부채' 항목이 현재 '기타채무'로 합산되었습니다.
The previous "Other Financial Liabilities" category has since 1Q25 been consolidated into "Other Liabilities."
</text>
  </threadedComment>
  <threadedComment ref="C82" dT="2025-11-09T04:59:31.47" personId="{ACCAD60D-E6F4-4B1A-A6FC-1948F7D84408}" id="{10940C18-F07F-4696-97AD-72537C3CC04A}">
    <text xml:space="preserve">1Q25 부터 기존 '기타금융부채' 항목이 현재 '기타채무'로 합산되었습니다.
The previous "Other Financial Liabilities" category has since 1Q25 been consolidated into "Other Liabilities."
</text>
  </threadedComment>
</ThreadedComments>
</file>

<file path=xl/threadedComments/threadedComment2.xml><?xml version="1.0" encoding="utf-8"?>
<ThreadedComments xmlns="http://schemas.microsoft.com/office/spreadsheetml/2018/threadedcomments" xmlns:x="http://schemas.openxmlformats.org/spreadsheetml/2006/main">
  <threadedComment ref="C79" dT="2025-11-09T04:59:31.47" personId="{ACCAD60D-E6F4-4B1A-A6FC-1948F7D84408}" id="{D2DDA040-457E-460D-971F-9E1F4925B773}">
    <text xml:space="preserve">1Q25 부터 기존 '기타금융부채' 항목이 현재 '기타채무'로 합산되었습니다.
The previous "Other Financial Liabilities" category has since 1Q25 been consolidated into "Other Liabilities."
</text>
  </threadedComment>
</ThreadedComments>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9">
    <wetp:webextensionref xmlns:r="http://schemas.openxmlformats.org/officeDocument/2006/relationships" r:id="rId1"/>
  </wetp:taskpane>
</wetp:taskpanes>
</file>

<file path=xl/webextensions/webextension1.xml><?xml version="1.0" encoding="utf-8"?>
<we:webextension xmlns:we="http://schemas.microsoft.com/office/webextensions/webextension/2010/11" id="{A94A5062-86F9-44B2-A3CE-2E537E7AB736}">
  <we:reference id="657a6b58-fee0-4387-8fad-83746dc3255b" version="2.0.0.0" store="EXCatalog" storeType="EXCatalog"/>
  <we:alternateReferences/>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8.bin"/><Relationship Id="rId4" Type="http://schemas.microsoft.com/office/2017/10/relationships/threadedComment" Target="../threadedComments/threadedComment2.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 Id="rId4" Type="http://schemas.microsoft.com/office/2017/10/relationships/threadedComment" Target="../threadedComments/threadedComment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D3CC0E-0061-4A91-BBB4-715082756B1A}">
  <sheetPr>
    <tabColor theme="8"/>
  </sheetPr>
  <dimension ref="A1"/>
  <sheetViews>
    <sheetView zoomScale="70" zoomScaleNormal="70" workbookViewId="0">
      <selection activeCell="O16" sqref="O16"/>
    </sheetView>
  </sheetViews>
  <sheetFormatPr defaultRowHeight="17.399999999999999"/>
  <sheetData/>
  <phoneticPr fontId="3"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8C7D76-9040-4016-A65D-DF35E1672DB7}">
  <sheetPr>
    <pageSetUpPr fitToPage="1"/>
  </sheetPr>
  <dimension ref="A1:W108"/>
  <sheetViews>
    <sheetView showGridLines="0" view="pageBreakPreview" zoomScaleNormal="100" zoomScaleSheetLayoutView="100" workbookViewId="0">
      <pane xSplit="3" ySplit="2" topLeftCell="D27" activePane="bottomRight" state="frozen"/>
      <selection pane="topRight" activeCell="B1" sqref="B1"/>
      <selection pane="bottomLeft" activeCell="A2" sqref="A2"/>
      <selection pane="bottomRight" activeCell="Q24" sqref="Q24"/>
    </sheetView>
  </sheetViews>
  <sheetFormatPr defaultColWidth="8.69921875" defaultRowHeight="16.2" customHeight="1" outlineLevelRow="1" outlineLevelCol="1"/>
  <cols>
    <col min="1" max="1" width="3.19921875" style="141" customWidth="1"/>
    <col min="2" max="2" width="14.19921875" style="3" customWidth="1"/>
    <col min="3" max="3" width="26.69921875" style="3" bestFit="1" customWidth="1"/>
    <col min="4" max="5" width="9.19921875" style="297" hidden="1" customWidth="1" outlineLevel="1"/>
    <col min="6" max="6" width="5.69921875" style="298" hidden="1" customWidth="1" outlineLevel="1"/>
    <col min="7" max="7" width="9.19921875" style="297" hidden="1" customWidth="1" outlineLevel="1"/>
    <col min="8" max="8" width="5.69921875" style="298" hidden="1" customWidth="1" outlineLevel="1"/>
    <col min="9" max="9" width="9.19921875" style="297" hidden="1" customWidth="1" outlineLevel="1"/>
    <col min="10" max="10" width="5.69921875" style="298" hidden="1" customWidth="1" outlineLevel="1"/>
    <col min="11" max="11" width="9.19921875" style="297" hidden="1" customWidth="1" outlineLevel="1"/>
    <col min="12" max="12" width="5.69921875" style="298" hidden="1" customWidth="1" outlineLevel="1"/>
    <col min="13" max="13" width="9.19921875" style="297" hidden="1" customWidth="1" outlineLevel="1"/>
    <col min="14" max="14" width="5.69921875" style="298" hidden="1" customWidth="1" outlineLevel="1"/>
    <col min="15" max="15" width="9.19921875" style="297" customWidth="1" collapsed="1"/>
    <col min="16" max="16" width="5.69921875" style="298" customWidth="1"/>
    <col min="17" max="17" width="9.19921875" style="297" customWidth="1"/>
    <col min="18" max="18" width="5.69921875" style="298" customWidth="1"/>
    <col min="19" max="19" width="9.19921875" style="297" customWidth="1"/>
    <col min="20" max="20" width="5.69921875" style="298" customWidth="1"/>
    <col min="21" max="16384" width="8.69921875" style="8"/>
  </cols>
  <sheetData>
    <row r="1" spans="1:21" ht="16.2" customHeight="1" thickBot="1">
      <c r="A1" s="142"/>
      <c r="B1" s="1" t="s">
        <v>240</v>
      </c>
      <c r="C1" s="1"/>
      <c r="Q1" s="553" t="s">
        <v>315</v>
      </c>
      <c r="S1" s="553"/>
    </row>
    <row r="2" spans="1:21" s="128" customFormat="1" ht="16.2" customHeight="1">
      <c r="A2" s="141"/>
      <c r="B2" s="95" t="str">
        <f>'Q_SG&amp;A'!B2</f>
        <v>(단위 : 백만원)</v>
      </c>
      <c r="C2" s="96" t="str">
        <f>'Q_SG&amp;A'!C2</f>
        <v>(Unit: Million KRW)</v>
      </c>
      <c r="D2" s="498">
        <v>2017</v>
      </c>
      <c r="E2" s="299">
        <v>2018</v>
      </c>
      <c r="F2" s="300" t="s">
        <v>0</v>
      </c>
      <c r="G2" s="299">
        <v>2019</v>
      </c>
      <c r="H2" s="300" t="s">
        <v>0</v>
      </c>
      <c r="I2" s="299">
        <v>2020</v>
      </c>
      <c r="J2" s="300" t="s">
        <v>0</v>
      </c>
      <c r="K2" s="299">
        <v>2021</v>
      </c>
      <c r="L2" s="300" t="s">
        <v>0</v>
      </c>
      <c r="M2" s="299">
        <v>2022</v>
      </c>
      <c r="N2" s="300" t="s">
        <v>0</v>
      </c>
      <c r="O2" s="299">
        <v>2023</v>
      </c>
      <c r="P2" s="300" t="s">
        <v>0</v>
      </c>
      <c r="Q2" s="299">
        <v>2024</v>
      </c>
      <c r="R2" s="300" t="s">
        <v>0</v>
      </c>
      <c r="S2" s="299">
        <v>2025</v>
      </c>
      <c r="T2" s="300" t="s">
        <v>77</v>
      </c>
    </row>
    <row r="3" spans="1:21" s="14" customFormat="1" ht="16.2" customHeight="1">
      <c r="A3" s="141"/>
      <c r="B3" s="97" t="str">
        <f>'Q_SG&amp;A'!B3</f>
        <v>급여</v>
      </c>
      <c r="C3" s="98" t="str">
        <f>'Q_SG&amp;A'!C3</f>
        <v>Salaries</v>
      </c>
      <c r="D3" s="472">
        <v>4405.8180000000002</v>
      </c>
      <c r="E3" s="305">
        <v>6188.9480000000003</v>
      </c>
      <c r="F3" s="306">
        <f t="shared" ref="F3:F29" si="0">E3/D3-1</f>
        <v>0.40472166576104596</v>
      </c>
      <c r="G3" s="305">
        <v>7740.0239999999994</v>
      </c>
      <c r="H3" s="306">
        <f t="shared" ref="H3:H29" si="1">G3/E3-1</f>
        <v>0.25062029928188112</v>
      </c>
      <c r="I3" s="305">
        <v>8366.6479999999992</v>
      </c>
      <c r="J3" s="306">
        <f t="shared" ref="J3:J13" si="2">I3/G3-1</f>
        <v>8.0958922091197705E-2</v>
      </c>
      <c r="K3" s="305">
        <v>9137.4449999999997</v>
      </c>
      <c r="L3" s="306">
        <f t="shared" ref="L3:L13" si="3">K3/I3-1</f>
        <v>9.2127337017166244E-2</v>
      </c>
      <c r="M3" s="305">
        <v>10022.963778000001</v>
      </c>
      <c r="N3" s="306">
        <f t="shared" ref="N3:P13" si="4">M3/K3-1</f>
        <v>9.6910983103044801E-2</v>
      </c>
      <c r="O3" s="305">
        <v>9671.0910000000003</v>
      </c>
      <c r="P3" s="306">
        <f t="shared" si="4"/>
        <v>-3.5106659646156446E-2</v>
      </c>
      <c r="Q3" s="305">
        <v>12486.143</v>
      </c>
      <c r="R3" s="306">
        <f t="shared" ref="R3:T13" si="5">Q3/O3-1</f>
        <v>0.29107905199113526</v>
      </c>
      <c r="S3" s="305">
        <f>'C_SG&amp;A'!AI3</f>
        <v>15654.006999999998</v>
      </c>
      <c r="T3" s="306">
        <f t="shared" si="5"/>
        <v>0.25371037317128264</v>
      </c>
      <c r="U3" s="690"/>
    </row>
    <row r="4" spans="1:21" s="14" customFormat="1" ht="16.2" customHeight="1">
      <c r="A4" s="141"/>
      <c r="B4" s="99" t="str">
        <f>'Q_SG&amp;A'!B4</f>
        <v>경상연구개발비</v>
      </c>
      <c r="C4" s="98" t="str">
        <f>'Q_SG&amp;A'!C4</f>
        <v>R&amp;D Expenses</v>
      </c>
      <c r="D4" s="472">
        <v>1527.058</v>
      </c>
      <c r="E4" s="305">
        <v>1528.768</v>
      </c>
      <c r="F4" s="306">
        <f t="shared" si="0"/>
        <v>1.1198002957319986E-3</v>
      </c>
      <c r="G4" s="305">
        <v>1923.598</v>
      </c>
      <c r="H4" s="306">
        <f t="shared" si="1"/>
        <v>0.25826678737388531</v>
      </c>
      <c r="I4" s="305">
        <v>3115.05</v>
      </c>
      <c r="J4" s="306">
        <f t="shared" si="2"/>
        <v>0.61938721084135051</v>
      </c>
      <c r="K4" s="305">
        <v>4700.5929999999998</v>
      </c>
      <c r="L4" s="306">
        <f t="shared" si="3"/>
        <v>0.50899439816375325</v>
      </c>
      <c r="M4" s="305">
        <v>4429.7771059999995</v>
      </c>
      <c r="N4" s="306">
        <f t="shared" si="4"/>
        <v>-5.7613133917359005E-2</v>
      </c>
      <c r="O4" s="305">
        <v>9200.643</v>
      </c>
      <c r="P4" s="306">
        <f t="shared" si="4"/>
        <v>1.0769990859219547</v>
      </c>
      <c r="Q4" s="305">
        <v>12617.668000000001</v>
      </c>
      <c r="R4" s="306">
        <f t="shared" si="5"/>
        <v>0.37138980395174581</v>
      </c>
      <c r="S4" s="305">
        <f>'C_SG&amp;A'!AI4</f>
        <v>17439.465</v>
      </c>
      <c r="T4" s="306">
        <f t="shared" si="5"/>
        <v>0.38214644734668868</v>
      </c>
      <c r="U4" s="690"/>
    </row>
    <row r="5" spans="1:21" s="14" customFormat="1" ht="16.2" customHeight="1">
      <c r="A5" s="141"/>
      <c r="B5" s="99" t="str">
        <f>'Q_SG&amp;A'!B5</f>
        <v>광고선전비</v>
      </c>
      <c r="C5" s="98" t="str">
        <f>'Q_SG&amp;A'!C5</f>
        <v>Advertising</v>
      </c>
      <c r="D5" s="472">
        <v>1312.066</v>
      </c>
      <c r="E5" s="305">
        <v>1347.8890000000001</v>
      </c>
      <c r="F5" s="306">
        <f t="shared" si="0"/>
        <v>2.7302742392532053E-2</v>
      </c>
      <c r="G5" s="305">
        <v>2343.8130000000001</v>
      </c>
      <c r="H5" s="306">
        <f t="shared" si="1"/>
        <v>0.73887686597338487</v>
      </c>
      <c r="I5" s="305">
        <v>840.21799999999985</v>
      </c>
      <c r="J5" s="306">
        <f t="shared" si="2"/>
        <v>-0.64151662269984855</v>
      </c>
      <c r="K5" s="305">
        <v>4215.0730000000003</v>
      </c>
      <c r="L5" s="306">
        <f t="shared" si="3"/>
        <v>4.0166421095477611</v>
      </c>
      <c r="M5" s="305">
        <v>5914.1873810000006</v>
      </c>
      <c r="N5" s="306">
        <f t="shared" si="4"/>
        <v>0.40310437826343692</v>
      </c>
      <c r="O5" s="305">
        <v>9029.7379999999994</v>
      </c>
      <c r="P5" s="306">
        <f t="shared" si="4"/>
        <v>0.52679267975327582</v>
      </c>
      <c r="Q5" s="305">
        <v>12820.741999999998</v>
      </c>
      <c r="R5" s="306">
        <f t="shared" si="5"/>
        <v>0.41983543708577131</v>
      </c>
      <c r="S5" s="305">
        <f>'C_SG&amp;A'!AI5</f>
        <v>17584.755000000001</v>
      </c>
      <c r="T5" s="306">
        <f t="shared" si="5"/>
        <v>0.3715863715220229</v>
      </c>
      <c r="U5" s="690"/>
    </row>
    <row r="6" spans="1:21" s="14" customFormat="1" ht="16.2" customHeight="1">
      <c r="A6" s="141"/>
      <c r="B6" s="100" t="str">
        <f>'Q_SG&amp;A'!B6</f>
        <v>지급수수료</v>
      </c>
      <c r="C6" s="101" t="str">
        <f>'Q_SG&amp;A'!C6</f>
        <v>Commission</v>
      </c>
      <c r="D6" s="474">
        <v>1381.8040000000001</v>
      </c>
      <c r="E6" s="311">
        <v>1647.8549999999998</v>
      </c>
      <c r="F6" s="312">
        <f t="shared" si="0"/>
        <v>0.19253888395170349</v>
      </c>
      <c r="G6" s="311">
        <v>2540.9119999999998</v>
      </c>
      <c r="H6" s="312">
        <f t="shared" si="1"/>
        <v>0.54195120323086687</v>
      </c>
      <c r="I6" s="311">
        <v>2825.7939999999999</v>
      </c>
      <c r="J6" s="312">
        <f t="shared" si="2"/>
        <v>0.11211801117079223</v>
      </c>
      <c r="K6" s="311">
        <v>2264.7820000000002</v>
      </c>
      <c r="L6" s="312">
        <f t="shared" si="3"/>
        <v>-0.19853251864785604</v>
      </c>
      <c r="M6" s="311">
        <v>6676.4098190000004</v>
      </c>
      <c r="N6" s="312">
        <f t="shared" si="4"/>
        <v>1.9479260339405737</v>
      </c>
      <c r="O6" s="311">
        <v>7499.3389999999999</v>
      </c>
      <c r="P6" s="312">
        <f t="shared" si="4"/>
        <v>0.12325923712143516</v>
      </c>
      <c r="Q6" s="311">
        <v>10395.455000000002</v>
      </c>
      <c r="R6" s="312">
        <f t="shared" si="5"/>
        <v>0.38618283558057609</v>
      </c>
      <c r="S6" s="311">
        <f>'C_SG&amp;A'!AI6</f>
        <v>10674.947474000001</v>
      </c>
      <c r="T6" s="312">
        <f t="shared" si="5"/>
        <v>2.6886026056579304E-2</v>
      </c>
      <c r="U6" s="690"/>
    </row>
    <row r="7" spans="1:21" s="14" customFormat="1" ht="16.2" customHeight="1">
      <c r="A7" s="141"/>
      <c r="B7" s="100" t="str">
        <f>'Q_SG&amp;A'!B7</f>
        <v>판매수수료</v>
      </c>
      <c r="C7" s="101" t="str">
        <f>'Q_SG&amp;A'!C7</f>
        <v xml:space="preserve">Sales Commissions </v>
      </c>
      <c r="D7" s="474">
        <v>1131.7339999999999</v>
      </c>
      <c r="E7" s="311">
        <v>1599.3979999999999</v>
      </c>
      <c r="F7" s="312">
        <f t="shared" si="0"/>
        <v>0.41322784329179818</v>
      </c>
      <c r="G7" s="311">
        <v>1908.2040000000002</v>
      </c>
      <c r="H7" s="312">
        <f t="shared" si="1"/>
        <v>0.19307639499361651</v>
      </c>
      <c r="I7" s="311">
        <v>926.50200000000007</v>
      </c>
      <c r="J7" s="312">
        <f t="shared" si="2"/>
        <v>-0.5144638623543395</v>
      </c>
      <c r="K7" s="311">
        <v>714.71399999999994</v>
      </c>
      <c r="L7" s="312">
        <f t="shared" si="3"/>
        <v>-0.22858882117901536</v>
      </c>
      <c r="M7" s="311">
        <v>3826.2594979999994</v>
      </c>
      <c r="N7" s="312">
        <f t="shared" si="4"/>
        <v>4.3535533066373402</v>
      </c>
      <c r="O7" s="311">
        <v>3195.529</v>
      </c>
      <c r="P7" s="312">
        <f t="shared" si="4"/>
        <v>-0.16484258277037522</v>
      </c>
      <c r="Q7" s="311">
        <v>3423.7660000000001</v>
      </c>
      <c r="R7" s="312">
        <f t="shared" si="5"/>
        <v>7.1423855017432203E-2</v>
      </c>
      <c r="S7" s="311">
        <f>'C_SG&amp;A'!AI7</f>
        <v>5582.32</v>
      </c>
      <c r="T7" s="312">
        <f t="shared" si="5"/>
        <v>0.63046189488417137</v>
      </c>
      <c r="U7" s="690"/>
    </row>
    <row r="8" spans="1:21" s="14" customFormat="1" ht="16.8" customHeight="1">
      <c r="A8" s="141"/>
      <c r="B8" s="100" t="str">
        <f>'Q_SG&amp;A'!B8</f>
        <v>감가상각비</v>
      </c>
      <c r="C8" s="101" t="str">
        <f>'Q_SG&amp;A'!C8</f>
        <v>Depreciation</v>
      </c>
      <c r="D8" s="474">
        <v>187.054</v>
      </c>
      <c r="E8" s="311">
        <v>472.65399999999994</v>
      </c>
      <c r="F8" s="312">
        <f t="shared" si="0"/>
        <v>1.5268318239652716</v>
      </c>
      <c r="G8" s="311">
        <v>665.14400000000001</v>
      </c>
      <c r="H8" s="312">
        <f t="shared" si="1"/>
        <v>0.4072535089092657</v>
      </c>
      <c r="I8" s="311">
        <v>739.63800000000003</v>
      </c>
      <c r="J8" s="312">
        <f t="shared" si="2"/>
        <v>0.11199680069278228</v>
      </c>
      <c r="K8" s="311">
        <v>956.85199999999998</v>
      </c>
      <c r="L8" s="312">
        <f t="shared" si="3"/>
        <v>0.29367609560352492</v>
      </c>
      <c r="M8" s="311">
        <v>1430.1504489999998</v>
      </c>
      <c r="N8" s="312">
        <f t="shared" si="4"/>
        <v>0.49464122873756833</v>
      </c>
      <c r="O8" s="311">
        <v>1972.473</v>
      </c>
      <c r="P8" s="312">
        <f t="shared" si="4"/>
        <v>0.37920664317464436</v>
      </c>
      <c r="Q8" s="311">
        <v>2574.8500000000004</v>
      </c>
      <c r="R8" s="312">
        <f t="shared" si="5"/>
        <v>0.30539175948162556</v>
      </c>
      <c r="S8" s="311">
        <f>'C_SG&amp;A'!AI8</f>
        <v>3017.7798579999999</v>
      </c>
      <c r="T8" s="312">
        <f t="shared" si="5"/>
        <v>0.17202161601646671</v>
      </c>
      <c r="U8" s="690"/>
    </row>
    <row r="9" spans="1:21" ht="16.2" customHeight="1">
      <c r="B9" s="100" t="str">
        <f>'Q_SG&amp;A'!B9</f>
        <v>무형고정자산상각비</v>
      </c>
      <c r="C9" s="101" t="str">
        <f>'Q_SG&amp;A'!C9</f>
        <v>Amortization of Intangible Assets</v>
      </c>
      <c r="D9" s="474">
        <v>11.363</v>
      </c>
      <c r="E9" s="311">
        <v>23.420999999999999</v>
      </c>
      <c r="F9" s="312">
        <f>E9/D9-1</f>
        <v>1.0611634251518085</v>
      </c>
      <c r="G9" s="311">
        <v>47.698</v>
      </c>
      <c r="H9" s="312">
        <f>G9/E9-1</f>
        <v>1.0365483967379703</v>
      </c>
      <c r="I9" s="311">
        <v>80.17</v>
      </c>
      <c r="J9" s="312">
        <f>I9/G9-1</f>
        <v>0.68078326135267719</v>
      </c>
      <c r="K9" s="311">
        <v>107.55099999999999</v>
      </c>
      <c r="L9" s="312">
        <f>K9/I9-1</f>
        <v>0.34153673443931631</v>
      </c>
      <c r="M9" s="311">
        <v>162.96363100000002</v>
      </c>
      <c r="N9" s="312">
        <f>M9/K9-1</f>
        <v>0.51522190402692702</v>
      </c>
      <c r="O9" s="311">
        <v>251.92400000000001</v>
      </c>
      <c r="P9" s="312">
        <f>O9/M9-1</f>
        <v>0.54589093562845314</v>
      </c>
      <c r="Q9" s="311">
        <v>2166.4760000000001</v>
      </c>
      <c r="R9" s="312">
        <f>Q9/O9-1</f>
        <v>7.5997205506422567</v>
      </c>
      <c r="S9" s="311">
        <f>'C_SG&amp;A'!AI9</f>
        <v>7876.6570739999997</v>
      </c>
      <c r="T9" s="312">
        <f t="shared" si="5"/>
        <v>2.6357001296114055</v>
      </c>
      <c r="U9" s="690"/>
    </row>
    <row r="10" spans="1:21" ht="16.2" customHeight="1">
      <c r="B10" s="100" t="str">
        <f>'Q_SG&amp;A'!B10</f>
        <v>퇴직급여</v>
      </c>
      <c r="C10" s="101" t="str">
        <f>'Q_SG&amp;A'!C10</f>
        <v>Retirement benefits</v>
      </c>
      <c r="D10" s="474">
        <v>358.15199999999999</v>
      </c>
      <c r="E10" s="311">
        <v>394.56899999999996</v>
      </c>
      <c r="F10" s="312">
        <f>E10/D10-1</f>
        <v>0.10168029216645436</v>
      </c>
      <c r="G10" s="311">
        <v>481.48200000000003</v>
      </c>
      <c r="H10" s="312">
        <f>G10/E10-1</f>
        <v>0.22027326019023308</v>
      </c>
      <c r="I10" s="311">
        <v>506.62</v>
      </c>
      <c r="J10" s="312">
        <f>I10/G10-1</f>
        <v>5.2209636081930411E-2</v>
      </c>
      <c r="K10" s="311">
        <v>577.90699999999993</v>
      </c>
      <c r="L10" s="312">
        <f>K10/I10-1</f>
        <v>0.14071098653823366</v>
      </c>
      <c r="M10" s="311">
        <v>787.51774899999998</v>
      </c>
      <c r="N10" s="312">
        <f>M10/K10-1</f>
        <v>0.36270671405606802</v>
      </c>
      <c r="O10" s="311">
        <v>747.37899999999718</v>
      </c>
      <c r="P10" s="312">
        <f>O10/M10-1</f>
        <v>-5.0968691246605524E-2</v>
      </c>
      <c r="Q10" s="311">
        <v>921.49300000000005</v>
      </c>
      <c r="R10" s="312">
        <f>Q10/O10-1</f>
        <v>0.23296613900043162</v>
      </c>
      <c r="S10" s="311">
        <f>'C_SG&amp;A'!AI10</f>
        <v>1037.6969999999999</v>
      </c>
      <c r="T10" s="312">
        <f t="shared" si="5"/>
        <v>0.12610405070901232</v>
      </c>
      <c r="U10" s="690"/>
    </row>
    <row r="11" spans="1:21" s="14" customFormat="1" ht="16.2" customHeight="1">
      <c r="A11" s="141"/>
      <c r="B11" s="543" t="str">
        <f>'Q_SG&amp;A'!B11</f>
        <v>기타</v>
      </c>
      <c r="C11" s="544" t="str">
        <f>'Q_SG&amp;A'!C11</f>
        <v>Others</v>
      </c>
      <c r="D11" s="545">
        <f>SUM(D12:D34)</f>
        <v>2899.7840000000006</v>
      </c>
      <c r="E11" s="548">
        <f>SUM(E12:E34)</f>
        <v>4022.9360000000001</v>
      </c>
      <c r="F11" s="549">
        <f>E11/D11-1</f>
        <v>0.38732264196229771</v>
      </c>
      <c r="G11" s="548">
        <f>SUM(G12:G34)</f>
        <v>4358.8760000000002</v>
      </c>
      <c r="H11" s="549">
        <f>G11/E11-1</f>
        <v>8.3506175589171727E-2</v>
      </c>
      <c r="I11" s="548">
        <f>SUM(I12:I35)</f>
        <v>2950.0469999999996</v>
      </c>
      <c r="J11" s="549">
        <f>I11/G11-1</f>
        <v>-0.32320924018026675</v>
      </c>
      <c r="K11" s="548">
        <f>SUM(K12:K35)</f>
        <v>3465.0260000000007</v>
      </c>
      <c r="L11" s="549">
        <f>K11/I11-1</f>
        <v>0.17456637131544039</v>
      </c>
      <c r="M11" s="548">
        <f>SUM(M12:M35)</f>
        <v>6040.5869450000009</v>
      </c>
      <c r="N11" s="549">
        <f>M11/K11-1</f>
        <v>0.74330205458775778</v>
      </c>
      <c r="O11" s="548">
        <f>SUM(O12:O35)</f>
        <v>9258.5659999999989</v>
      </c>
      <c r="P11" s="549">
        <f>O11/M11-1</f>
        <v>0.53272622086230026</v>
      </c>
      <c r="Q11" s="548">
        <f>SUM(Q12:Q35)</f>
        <v>11278.340999999997</v>
      </c>
      <c r="R11" s="549">
        <f>Q11/O11-1</f>
        <v>0.21815203347905054</v>
      </c>
      <c r="S11" s="548">
        <f>'C_SG&amp;A'!AI11</f>
        <v>11623.339</v>
      </c>
      <c r="T11" s="549">
        <f t="shared" si="5"/>
        <v>3.0589428001866814E-2</v>
      </c>
      <c r="U11" s="690"/>
    </row>
    <row r="12" spans="1:21" s="123" customFormat="1" ht="16.2" customHeight="1" outlineLevel="1">
      <c r="A12" s="141"/>
      <c r="B12" s="102" t="str">
        <f>'Q_SG&amp;A'!B12</f>
        <v>복리후생비</v>
      </c>
      <c r="C12" s="103" t="str">
        <f>'Q_SG&amp;A'!C12</f>
        <v>Employee Benefits</v>
      </c>
      <c r="D12" s="476">
        <v>501.255</v>
      </c>
      <c r="E12" s="317">
        <v>664.06700000000001</v>
      </c>
      <c r="F12" s="318">
        <f t="shared" si="0"/>
        <v>0.32480873008748046</v>
      </c>
      <c r="G12" s="317">
        <v>910.00299999999993</v>
      </c>
      <c r="H12" s="318">
        <f t="shared" si="1"/>
        <v>0.37034817269944131</v>
      </c>
      <c r="I12" s="317">
        <v>840.827</v>
      </c>
      <c r="J12" s="318">
        <f t="shared" si="2"/>
        <v>-7.6017331810993904E-2</v>
      </c>
      <c r="K12" s="317">
        <v>1084.4470000000001</v>
      </c>
      <c r="L12" s="318">
        <f t="shared" si="3"/>
        <v>0.2897385550178575</v>
      </c>
      <c r="M12" s="317">
        <v>1591.4305330000002</v>
      </c>
      <c r="N12" s="318">
        <f t="shared" si="4"/>
        <v>0.46750420536918824</v>
      </c>
      <c r="O12" s="317">
        <v>1434.36</v>
      </c>
      <c r="P12" s="318">
        <f t="shared" si="4"/>
        <v>-9.8697699800887384E-2</v>
      </c>
      <c r="Q12" s="317">
        <v>2094.0329999999999</v>
      </c>
      <c r="R12" s="318">
        <f t="shared" si="5"/>
        <v>0.45990755458880628</v>
      </c>
      <c r="S12" s="1050" t="s">
        <v>353</v>
      </c>
      <c r="T12" s="1050"/>
      <c r="U12" s="14"/>
    </row>
    <row r="13" spans="1:21" s="123" customFormat="1" ht="16.2" customHeight="1" outlineLevel="1">
      <c r="A13" s="141"/>
      <c r="B13" s="102" t="str">
        <f>'Q_SG&amp;A'!B13</f>
        <v>판매보증비</v>
      </c>
      <c r="C13" s="103" t="str">
        <f>'Q_SG&amp;A'!C13</f>
        <v>Warranty Expenses</v>
      </c>
      <c r="D13" s="476">
        <v>278.92200000000003</v>
      </c>
      <c r="E13" s="317">
        <v>707.80200000000002</v>
      </c>
      <c r="F13" s="318">
        <f t="shared" si="0"/>
        <v>1.5376341772968787</v>
      </c>
      <c r="G13" s="317">
        <v>706.80700000000002</v>
      </c>
      <c r="H13" s="318">
        <f t="shared" si="1"/>
        <v>-1.405760368012543E-3</v>
      </c>
      <c r="I13" s="317">
        <v>537.25799999999992</v>
      </c>
      <c r="J13" s="318">
        <f t="shared" si="2"/>
        <v>-0.2398801936030629</v>
      </c>
      <c r="K13" s="317">
        <v>513.26400000000001</v>
      </c>
      <c r="L13" s="318">
        <f t="shared" si="3"/>
        <v>-4.466010743441684E-2</v>
      </c>
      <c r="M13" s="317">
        <v>1159.7526730000002</v>
      </c>
      <c r="N13" s="318">
        <f t="shared" si="4"/>
        <v>1.259563641712647</v>
      </c>
      <c r="O13" s="317">
        <v>1046.046</v>
      </c>
      <c r="P13" s="318">
        <f t="shared" si="4"/>
        <v>-9.8043898192420986E-2</v>
      </c>
      <c r="Q13" s="317">
        <v>883.61500000000001</v>
      </c>
      <c r="R13" s="318">
        <f t="shared" si="5"/>
        <v>-0.15528093410806032</v>
      </c>
      <c r="S13" s="1050"/>
      <c r="T13" s="1050"/>
      <c r="U13" s="14"/>
    </row>
    <row r="14" spans="1:21" ht="16.2" customHeight="1" outlineLevel="1">
      <c r="B14" s="102" t="str">
        <f>'Q_SG&amp;A'!B14</f>
        <v>주식보상비용</v>
      </c>
      <c r="C14" s="103" t="str">
        <f>'Q_SG&amp;A'!C14</f>
        <v>Share-based Compensation</v>
      </c>
      <c r="D14" s="476">
        <v>77.647999999999996</v>
      </c>
      <c r="E14" s="317">
        <v>79.814999999999998</v>
      </c>
      <c r="F14" s="318">
        <f t="shared" si="0"/>
        <v>2.7907995054605506E-2</v>
      </c>
      <c r="G14" s="317">
        <v>8.1820000000000004</v>
      </c>
      <c r="H14" s="318">
        <f t="shared" si="1"/>
        <v>-0.89748794086324624</v>
      </c>
      <c r="I14" s="317" t="s">
        <v>113</v>
      </c>
      <c r="J14" s="318" t="s">
        <v>113</v>
      </c>
      <c r="K14" s="317" t="s">
        <v>113</v>
      </c>
      <c r="L14" s="318" t="s">
        <v>113</v>
      </c>
      <c r="M14" s="317" t="s">
        <v>113</v>
      </c>
      <c r="N14" s="318" t="s">
        <v>113</v>
      </c>
      <c r="O14" s="317">
        <v>1528.7190000000001</v>
      </c>
      <c r="P14" s="318" t="s">
        <v>113</v>
      </c>
      <c r="Q14" s="317">
        <v>1958.11</v>
      </c>
      <c r="R14" s="318">
        <f t="shared" ref="R14:R29" si="6">Q14/O14-1</f>
        <v>0.28088288298896003</v>
      </c>
      <c r="S14" s="1050"/>
      <c r="T14" s="1050"/>
      <c r="U14" s="14"/>
    </row>
    <row r="15" spans="1:21" ht="16.2" customHeight="1" outlineLevel="1">
      <c r="B15" s="102" t="str">
        <f>'Q_SG&amp;A'!B15</f>
        <v>여비교통비</v>
      </c>
      <c r="C15" s="103" t="str">
        <f>'Q_SG&amp;A'!C15</f>
        <v>Travel and Transportation Expenses</v>
      </c>
      <c r="D15" s="476">
        <v>427.22500000000002</v>
      </c>
      <c r="E15" s="317">
        <v>432.92999999999995</v>
      </c>
      <c r="F15" s="318">
        <f t="shared" si="0"/>
        <v>1.3353619287260532E-2</v>
      </c>
      <c r="G15" s="317">
        <v>398.91499999999996</v>
      </c>
      <c r="H15" s="318">
        <f t="shared" si="1"/>
        <v>-7.8569283717922045E-2</v>
      </c>
      <c r="I15" s="317">
        <v>38.984999999999999</v>
      </c>
      <c r="J15" s="318">
        <f t="shared" ref="J15:J29" si="7">I15/G15-1</f>
        <v>-0.90227241392276547</v>
      </c>
      <c r="K15" s="317">
        <v>7.3679999999999994</v>
      </c>
      <c r="L15" s="318">
        <f t="shared" ref="L15:L29" si="8">K15/I15-1</f>
        <v>-0.81100423239707586</v>
      </c>
      <c r="M15" s="317">
        <v>312.864215</v>
      </c>
      <c r="N15" s="318">
        <f t="shared" ref="N15:P29" si="9">M15/K15-1</f>
        <v>41.462569896851249</v>
      </c>
      <c r="O15" s="317">
        <v>1011.602</v>
      </c>
      <c r="P15" s="318">
        <f t="shared" si="9"/>
        <v>2.2333579600978015</v>
      </c>
      <c r="Q15" s="317">
        <v>1231.723</v>
      </c>
      <c r="R15" s="318">
        <f t="shared" si="6"/>
        <v>0.21759644603312367</v>
      </c>
      <c r="S15" s="1050"/>
      <c r="T15" s="1050"/>
      <c r="U15" s="14"/>
    </row>
    <row r="16" spans="1:21" ht="16.2" customHeight="1" outlineLevel="1">
      <c r="B16" s="102" t="str">
        <f>'Q_SG&amp;A'!B16</f>
        <v>접대비</v>
      </c>
      <c r="C16" s="103" t="str">
        <f>'Q_SG&amp;A'!C16</f>
        <v>Entertainment Expenses</v>
      </c>
      <c r="D16" s="476">
        <v>8.8160000000000007</v>
      </c>
      <c r="E16" s="317">
        <v>19.853999999999999</v>
      </c>
      <c r="F16" s="318">
        <f t="shared" si="0"/>
        <v>1.2520417422867509</v>
      </c>
      <c r="G16" s="317">
        <v>108.90300000000002</v>
      </c>
      <c r="H16" s="318">
        <f t="shared" si="1"/>
        <v>4.4851919008763987</v>
      </c>
      <c r="I16" s="317">
        <v>52.594000000000001</v>
      </c>
      <c r="J16" s="318">
        <f t="shared" si="7"/>
        <v>-0.51705646309100772</v>
      </c>
      <c r="K16" s="317">
        <v>37.125000000000007</v>
      </c>
      <c r="L16" s="318">
        <f t="shared" si="8"/>
        <v>-0.29412100239571037</v>
      </c>
      <c r="M16" s="317">
        <v>58.869181999999995</v>
      </c>
      <c r="N16" s="318">
        <f t="shared" si="9"/>
        <v>0.58570187205387159</v>
      </c>
      <c r="O16" s="317">
        <v>180.05600000000001</v>
      </c>
      <c r="P16" s="318">
        <f t="shared" si="9"/>
        <v>2.058578255767169</v>
      </c>
      <c r="Q16" s="317">
        <v>236.85900000000004</v>
      </c>
      <c r="R16" s="318">
        <f t="shared" si="6"/>
        <v>0.31547407473230571</v>
      </c>
      <c r="S16" s="1050"/>
      <c r="T16" s="1050"/>
      <c r="U16" s="14"/>
    </row>
    <row r="17" spans="1:21" ht="16.2" customHeight="1" outlineLevel="1">
      <c r="B17" s="102" t="str">
        <f>'Q_SG&amp;A'!B17</f>
        <v>통신비</v>
      </c>
      <c r="C17" s="103" t="str">
        <f>'Q_SG&amp;A'!C17</f>
        <v>Communication Expenses</v>
      </c>
      <c r="D17" s="476">
        <v>31.298999999999999</v>
      </c>
      <c r="E17" s="317">
        <v>29.383999999999997</v>
      </c>
      <c r="F17" s="318">
        <f t="shared" si="0"/>
        <v>-6.1184063388606713E-2</v>
      </c>
      <c r="G17" s="317">
        <v>34.828000000000003</v>
      </c>
      <c r="H17" s="318">
        <f t="shared" si="1"/>
        <v>0.1852708957255651</v>
      </c>
      <c r="I17" s="317">
        <v>33.83</v>
      </c>
      <c r="J17" s="318">
        <f t="shared" si="7"/>
        <v>-2.8655105087860511E-2</v>
      </c>
      <c r="K17" s="317">
        <v>35.844000000000001</v>
      </c>
      <c r="L17" s="318">
        <f t="shared" si="8"/>
        <v>5.9532958912208223E-2</v>
      </c>
      <c r="M17" s="317">
        <v>36.580215000000003</v>
      </c>
      <c r="N17" s="318">
        <f t="shared" si="9"/>
        <v>2.0539420823568744E-2</v>
      </c>
      <c r="O17" s="317">
        <v>55.616</v>
      </c>
      <c r="P17" s="318">
        <f t="shared" si="9"/>
        <v>0.52038472163162508</v>
      </c>
      <c r="Q17" s="317">
        <v>58.691999999999993</v>
      </c>
      <c r="R17" s="318">
        <f t="shared" si="6"/>
        <v>5.530782508630594E-2</v>
      </c>
      <c r="S17" s="1050"/>
      <c r="T17" s="1050"/>
      <c r="U17" s="14"/>
    </row>
    <row r="18" spans="1:21" ht="16.2" customHeight="1" outlineLevel="1">
      <c r="B18" s="102" t="str">
        <f>'Q_SG&amp;A'!B18</f>
        <v>수도광열비</v>
      </c>
      <c r="C18" s="103" t="str">
        <f>'Q_SG&amp;A'!C18</f>
        <v xml:space="preserve">Utilities </v>
      </c>
      <c r="D18" s="476">
        <v>29.652999999999999</v>
      </c>
      <c r="E18" s="317">
        <v>79.475999999999999</v>
      </c>
      <c r="F18" s="318">
        <f t="shared" si="0"/>
        <v>1.6802009914679799</v>
      </c>
      <c r="G18" s="317">
        <v>64.050999999999988</v>
      </c>
      <c r="H18" s="318">
        <f t="shared" si="1"/>
        <v>-0.19408374855302246</v>
      </c>
      <c r="I18" s="317">
        <v>58.138000000000005</v>
      </c>
      <c r="J18" s="318">
        <f t="shared" si="7"/>
        <v>-9.2317059842937366E-2</v>
      </c>
      <c r="K18" s="317">
        <v>82.864000000000004</v>
      </c>
      <c r="L18" s="318">
        <f t="shared" si="8"/>
        <v>0.42529842787849592</v>
      </c>
      <c r="M18" s="317">
        <v>134.354623</v>
      </c>
      <c r="N18" s="318">
        <f t="shared" si="9"/>
        <v>0.62138712830662279</v>
      </c>
      <c r="O18" s="317">
        <v>150.208</v>
      </c>
      <c r="P18" s="318">
        <f t="shared" si="9"/>
        <v>0.1179965128553857</v>
      </c>
      <c r="Q18" s="317">
        <v>182.36199999999999</v>
      </c>
      <c r="R18" s="318">
        <f t="shared" si="6"/>
        <v>0.21406316574350237</v>
      </c>
      <c r="S18" s="1050"/>
      <c r="T18" s="1050"/>
      <c r="U18" s="14"/>
    </row>
    <row r="19" spans="1:21" ht="16.2" customHeight="1" outlineLevel="1">
      <c r="B19" s="102" t="str">
        <f>'Q_SG&amp;A'!B19</f>
        <v>세금과공과금</v>
      </c>
      <c r="C19" s="103" t="str">
        <f>'Q_SG&amp;A'!C19</f>
        <v>Taxes and Dues</v>
      </c>
      <c r="D19" s="476">
        <v>34.83</v>
      </c>
      <c r="E19" s="317">
        <v>187.953</v>
      </c>
      <c r="F19" s="318">
        <f t="shared" si="0"/>
        <v>4.3962962962962964</v>
      </c>
      <c r="G19" s="317">
        <v>175.70699999999999</v>
      </c>
      <c r="H19" s="318">
        <f t="shared" si="1"/>
        <v>-6.5154586518970214E-2</v>
      </c>
      <c r="I19" s="317">
        <v>194.363</v>
      </c>
      <c r="J19" s="318">
        <f t="shared" si="7"/>
        <v>0.10617676017460886</v>
      </c>
      <c r="K19" s="317">
        <v>180.71099999999998</v>
      </c>
      <c r="L19" s="318">
        <f t="shared" si="8"/>
        <v>-7.0239706116904999E-2</v>
      </c>
      <c r="M19" s="317">
        <v>375.00891499999994</v>
      </c>
      <c r="N19" s="318">
        <f t="shared" si="9"/>
        <v>1.0751858768973666</v>
      </c>
      <c r="O19" s="317">
        <v>418.02100000000002</v>
      </c>
      <c r="P19" s="318">
        <f t="shared" si="9"/>
        <v>0.11469616662313231</v>
      </c>
      <c r="Q19" s="317">
        <v>535.61699999999996</v>
      </c>
      <c r="R19" s="318">
        <f t="shared" si="6"/>
        <v>0.28131601043966681</v>
      </c>
      <c r="S19" s="1050"/>
      <c r="T19" s="1050"/>
      <c r="U19" s="14"/>
    </row>
    <row r="20" spans="1:21" ht="16.2" customHeight="1" outlineLevel="1">
      <c r="B20" s="102" t="str">
        <f>'Q_SG&amp;A'!B20</f>
        <v>지급임차료</v>
      </c>
      <c r="C20" s="103" t="str">
        <f>'Q_SG&amp;A'!C20</f>
        <v>Rent Expenses</v>
      </c>
      <c r="D20" s="476">
        <v>343.93</v>
      </c>
      <c r="E20" s="317">
        <v>196.27600000000001</v>
      </c>
      <c r="F20" s="318">
        <f t="shared" si="0"/>
        <v>-0.42931410461431108</v>
      </c>
      <c r="G20" s="317">
        <v>63.287999999999997</v>
      </c>
      <c r="H20" s="318">
        <f t="shared" si="1"/>
        <v>-0.67755609447920273</v>
      </c>
      <c r="I20" s="317">
        <v>11.507</v>
      </c>
      <c r="J20" s="318">
        <f t="shared" si="7"/>
        <v>-0.81818038174693464</v>
      </c>
      <c r="K20" s="317">
        <v>5.3230000000000004</v>
      </c>
      <c r="L20" s="318">
        <f t="shared" si="8"/>
        <v>-0.5374120100808204</v>
      </c>
      <c r="M20" s="317">
        <v>5.7470999999999997</v>
      </c>
      <c r="N20" s="318">
        <f t="shared" si="9"/>
        <v>7.9673116663535382E-2</v>
      </c>
      <c r="O20" s="317">
        <v>12.551</v>
      </c>
      <c r="P20" s="318">
        <f t="shared" si="9"/>
        <v>1.1838840458666113</v>
      </c>
      <c r="Q20" s="317">
        <v>33.686999999999998</v>
      </c>
      <c r="R20" s="318">
        <f t="shared" si="6"/>
        <v>1.6840092422914505</v>
      </c>
      <c r="S20" s="1050"/>
      <c r="T20" s="1050"/>
      <c r="U20" s="14"/>
    </row>
    <row r="21" spans="1:21" ht="16.2" customHeight="1" outlineLevel="1">
      <c r="B21" s="102" t="str">
        <f>'Q_SG&amp;A'!B21</f>
        <v>수선비</v>
      </c>
      <c r="C21" s="103" t="str">
        <f>'Q_SG&amp;A'!C21</f>
        <v>Repairs and Maintenance Expenses</v>
      </c>
      <c r="D21" s="476">
        <v>54.838999999999999</v>
      </c>
      <c r="E21" s="317">
        <v>13.612</v>
      </c>
      <c r="F21" s="318">
        <f t="shared" si="0"/>
        <v>-0.75178249056328528</v>
      </c>
      <c r="G21" s="317">
        <v>9.23</v>
      </c>
      <c r="H21" s="318">
        <f t="shared" si="1"/>
        <v>-0.32192183367616811</v>
      </c>
      <c r="I21" s="317">
        <v>8.7129999999999992</v>
      </c>
      <c r="J21" s="318">
        <f t="shared" si="7"/>
        <v>-5.6013001083423775E-2</v>
      </c>
      <c r="K21" s="317">
        <v>39.811</v>
      </c>
      <c r="L21" s="318">
        <f t="shared" si="8"/>
        <v>3.5691495466544252</v>
      </c>
      <c r="M21" s="317">
        <v>69.527923000000015</v>
      </c>
      <c r="N21" s="318">
        <f t="shared" si="9"/>
        <v>0.74645005149330634</v>
      </c>
      <c r="O21" s="317">
        <v>52.887</v>
      </c>
      <c r="P21" s="318">
        <f t="shared" si="9"/>
        <v>-0.23934158079193613</v>
      </c>
      <c r="Q21" s="317">
        <v>90.287999999999997</v>
      </c>
      <c r="R21" s="318">
        <f t="shared" si="6"/>
        <v>0.70718702138521738</v>
      </c>
      <c r="S21" s="1050"/>
      <c r="T21" s="1050"/>
      <c r="U21" s="14"/>
    </row>
    <row r="22" spans="1:21" ht="16.2" customHeight="1" outlineLevel="1">
      <c r="B22" s="102" t="str">
        <f>'Q_SG&amp;A'!B22</f>
        <v>보험료</v>
      </c>
      <c r="C22" s="103" t="str">
        <f>'Q_SG&amp;A'!C22</f>
        <v>Insurance Expenses</v>
      </c>
      <c r="D22" s="476">
        <v>35.457000000000001</v>
      </c>
      <c r="E22" s="317">
        <v>38.451000000000001</v>
      </c>
      <c r="F22" s="318">
        <f t="shared" si="0"/>
        <v>8.4440307978678408E-2</v>
      </c>
      <c r="G22" s="317">
        <v>41.146999999999998</v>
      </c>
      <c r="H22" s="318">
        <f t="shared" si="1"/>
        <v>7.0115211567969515E-2</v>
      </c>
      <c r="I22" s="317">
        <v>27.54</v>
      </c>
      <c r="J22" s="318">
        <f t="shared" si="7"/>
        <v>-0.33069239555739183</v>
      </c>
      <c r="K22" s="317">
        <v>33.750999999999998</v>
      </c>
      <c r="L22" s="318">
        <f t="shared" si="8"/>
        <v>0.22552650689905596</v>
      </c>
      <c r="M22" s="317">
        <v>90.979076000000006</v>
      </c>
      <c r="N22" s="318">
        <f t="shared" si="9"/>
        <v>1.695596456401292</v>
      </c>
      <c r="O22" s="317">
        <v>67.521000000000001</v>
      </c>
      <c r="P22" s="318">
        <f t="shared" si="9"/>
        <v>-0.2578403412230742</v>
      </c>
      <c r="Q22" s="317">
        <v>73.372</v>
      </c>
      <c r="R22" s="318">
        <f t="shared" si="6"/>
        <v>8.6654522296766956E-2</v>
      </c>
      <c r="S22" s="1050"/>
      <c r="T22" s="1050"/>
      <c r="U22" s="14"/>
    </row>
    <row r="23" spans="1:21" ht="16.2" customHeight="1" outlineLevel="1">
      <c r="B23" s="102" t="str">
        <f>'Q_SG&amp;A'!B23</f>
        <v>차량유지비</v>
      </c>
      <c r="C23" s="103" t="str">
        <f>'Q_SG&amp;A'!C23</f>
        <v>Vehicle Maintenance Expenses</v>
      </c>
      <c r="D23" s="476">
        <v>49.734000000000002</v>
      </c>
      <c r="E23" s="317">
        <v>58.117000000000004</v>
      </c>
      <c r="F23" s="318">
        <f t="shared" si="0"/>
        <v>0.16855672175976188</v>
      </c>
      <c r="G23" s="317">
        <v>119.28</v>
      </c>
      <c r="H23" s="318">
        <f t="shared" si="1"/>
        <v>1.0524115147030986</v>
      </c>
      <c r="I23" s="317">
        <v>124.22899999999998</v>
      </c>
      <c r="J23" s="318">
        <f t="shared" si="7"/>
        <v>4.1490610328638322E-2</v>
      </c>
      <c r="K23" s="317">
        <v>162.57599999999999</v>
      </c>
      <c r="L23" s="318">
        <f t="shared" si="8"/>
        <v>0.30867993785670023</v>
      </c>
      <c r="M23" s="317">
        <v>194.30017799999999</v>
      </c>
      <c r="N23" s="318">
        <f t="shared" si="9"/>
        <v>0.19513444788898737</v>
      </c>
      <c r="O23" s="317">
        <v>205.48099999999999</v>
      </c>
      <c r="P23" s="318">
        <f t="shared" si="9"/>
        <v>5.7544064627671254E-2</v>
      </c>
      <c r="Q23" s="317">
        <v>256.11599999999999</v>
      </c>
      <c r="R23" s="318">
        <f t="shared" si="6"/>
        <v>0.24642181028902921</v>
      </c>
      <c r="S23" s="1050"/>
      <c r="T23" s="1050"/>
      <c r="U23" s="14"/>
    </row>
    <row r="24" spans="1:21" ht="16.2" customHeight="1" outlineLevel="1">
      <c r="B24" s="102" t="str">
        <f>'Q_SG&amp;A'!B24</f>
        <v>운반비</v>
      </c>
      <c r="C24" s="103" t="str">
        <f>'Q_SG&amp;A'!C24</f>
        <v>Freight and Delivery Expenses</v>
      </c>
      <c r="D24" s="476">
        <v>280.16500000000002</v>
      </c>
      <c r="E24" s="317">
        <v>326.06299999999999</v>
      </c>
      <c r="F24" s="318">
        <f t="shared" si="0"/>
        <v>0.16382488890475244</v>
      </c>
      <c r="G24" s="317">
        <v>306.47500000000002</v>
      </c>
      <c r="H24" s="318">
        <f t="shared" si="1"/>
        <v>-6.0074280123779689E-2</v>
      </c>
      <c r="I24" s="317">
        <v>179.45400000000001</v>
      </c>
      <c r="J24" s="318">
        <f t="shared" si="7"/>
        <v>-0.41445794926176693</v>
      </c>
      <c r="K24" s="317">
        <v>121.602</v>
      </c>
      <c r="L24" s="318">
        <f t="shared" si="8"/>
        <v>-0.322377879568023</v>
      </c>
      <c r="M24" s="317">
        <v>398.529855</v>
      </c>
      <c r="N24" s="318">
        <f t="shared" si="9"/>
        <v>2.2773297725366359</v>
      </c>
      <c r="O24" s="317">
        <v>407.39100000000002</v>
      </c>
      <c r="P24" s="318">
        <f t="shared" si="9"/>
        <v>2.2234582651279755E-2</v>
      </c>
      <c r="Q24" s="317">
        <v>407.01800000000003</v>
      </c>
      <c r="R24" s="318">
        <f t="shared" si="6"/>
        <v>-9.1558232754285207E-4</v>
      </c>
      <c r="S24" s="1050"/>
      <c r="T24" s="1050"/>
      <c r="U24" s="14"/>
    </row>
    <row r="25" spans="1:21" ht="16.2" customHeight="1" outlineLevel="1">
      <c r="B25" s="102" t="str">
        <f>'Q_SG&amp;A'!B25</f>
        <v>교육훈련비</v>
      </c>
      <c r="C25" s="103" t="str">
        <f>'Q_SG&amp;A'!C25</f>
        <v>Training and Education Expenses</v>
      </c>
      <c r="D25" s="476">
        <v>5.4160000000000004</v>
      </c>
      <c r="E25" s="317">
        <v>7.4929999999999994</v>
      </c>
      <c r="F25" s="318">
        <f t="shared" si="0"/>
        <v>0.38349335302806487</v>
      </c>
      <c r="G25" s="317">
        <v>8.7899999999999991</v>
      </c>
      <c r="H25" s="318">
        <f t="shared" si="1"/>
        <v>0.17309488856265842</v>
      </c>
      <c r="I25" s="317">
        <v>9.2030000000000012</v>
      </c>
      <c r="J25" s="318">
        <f t="shared" si="7"/>
        <v>4.6985210466439442E-2</v>
      </c>
      <c r="K25" s="317">
        <v>4.43</v>
      </c>
      <c r="L25" s="318">
        <f t="shared" si="8"/>
        <v>-0.51863522764315995</v>
      </c>
      <c r="M25" s="317">
        <v>4.674995</v>
      </c>
      <c r="N25" s="318">
        <f t="shared" si="9"/>
        <v>5.5303611738149128E-2</v>
      </c>
      <c r="O25" s="317">
        <v>15.805999999999999</v>
      </c>
      <c r="P25" s="318">
        <f t="shared" si="9"/>
        <v>2.3809661828515321</v>
      </c>
      <c r="Q25" s="317">
        <v>41.976000000000006</v>
      </c>
      <c r="R25" s="318">
        <f t="shared" si="6"/>
        <v>1.6557003669492603</v>
      </c>
      <c r="S25" s="1050"/>
      <c r="T25" s="1050"/>
      <c r="U25" s="14"/>
    </row>
    <row r="26" spans="1:21" ht="16.2" customHeight="1" outlineLevel="1">
      <c r="B26" s="102" t="str">
        <f>'Q_SG&amp;A'!B26</f>
        <v>도서인쇄비</v>
      </c>
      <c r="C26" s="103" t="str">
        <f>'Q_SG&amp;A'!C26</f>
        <v>Periodicals and Printing Expenses</v>
      </c>
      <c r="D26" s="476">
        <v>151.75399999999999</v>
      </c>
      <c r="E26" s="317">
        <v>153.51600000000002</v>
      </c>
      <c r="F26" s="318">
        <f t="shared" si="0"/>
        <v>1.1610896582627372E-2</v>
      </c>
      <c r="G26" s="317">
        <v>199.42500000000001</v>
      </c>
      <c r="H26" s="318">
        <f t="shared" si="1"/>
        <v>0.29905026186195571</v>
      </c>
      <c r="I26" s="317">
        <v>190.55799999999999</v>
      </c>
      <c r="J26" s="318">
        <f t="shared" si="7"/>
        <v>-4.4462830638084538E-2</v>
      </c>
      <c r="K26" s="317">
        <v>263.76000000000005</v>
      </c>
      <c r="L26" s="318">
        <f t="shared" si="8"/>
        <v>0.38414550950366855</v>
      </c>
      <c r="M26" s="317">
        <v>270.25355500000001</v>
      </c>
      <c r="N26" s="318">
        <f t="shared" si="9"/>
        <v>2.4619180315438083E-2</v>
      </c>
      <c r="O26" s="317">
        <v>229.60400000000001</v>
      </c>
      <c r="P26" s="318">
        <f t="shared" si="9"/>
        <v>-0.15041265599632903</v>
      </c>
      <c r="Q26" s="317">
        <v>432.92899999999997</v>
      </c>
      <c r="R26" s="318">
        <f t="shared" si="6"/>
        <v>0.88554641905193265</v>
      </c>
      <c r="S26" s="1050"/>
      <c r="T26" s="1050"/>
      <c r="U26" s="14"/>
    </row>
    <row r="27" spans="1:21" ht="16.2" customHeight="1" outlineLevel="1">
      <c r="A27" s="143"/>
      <c r="B27" s="102" t="str">
        <f>'Q_SG&amp;A'!B27</f>
        <v>사무용품비</v>
      </c>
      <c r="C27" s="103" t="str">
        <f>'Q_SG&amp;A'!C27</f>
        <v>Office Supplies Expense</v>
      </c>
      <c r="D27" s="476">
        <v>34.146000000000001</v>
      </c>
      <c r="E27" s="317">
        <v>38.474999999999994</v>
      </c>
      <c r="F27" s="318">
        <f t="shared" si="0"/>
        <v>0.12677912493410637</v>
      </c>
      <c r="G27" s="317">
        <v>48.65</v>
      </c>
      <c r="H27" s="318">
        <f t="shared" si="1"/>
        <v>0.26445743989603643</v>
      </c>
      <c r="I27" s="317">
        <v>26.233999999999998</v>
      </c>
      <c r="J27" s="318">
        <f t="shared" si="7"/>
        <v>-0.46076053442959919</v>
      </c>
      <c r="K27" s="317">
        <v>13.427</v>
      </c>
      <c r="L27" s="318">
        <f t="shared" si="8"/>
        <v>-0.48818327361439351</v>
      </c>
      <c r="M27" s="317">
        <v>22.552302000000001</v>
      </c>
      <c r="N27" s="318">
        <f t="shared" si="9"/>
        <v>0.67962329634318919</v>
      </c>
      <c r="O27" s="317">
        <v>19.399000000000001</v>
      </c>
      <c r="P27" s="318">
        <f t="shared" si="9"/>
        <v>-0.13982173527119313</v>
      </c>
      <c r="Q27" s="317">
        <v>18.641999999999999</v>
      </c>
      <c r="R27" s="318">
        <f t="shared" si="6"/>
        <v>-3.9022630032475969E-2</v>
      </c>
      <c r="S27" s="1050"/>
      <c r="T27" s="1050"/>
      <c r="U27" s="14"/>
    </row>
    <row r="28" spans="1:21" ht="16.2" customHeight="1" outlineLevel="1">
      <c r="A28" s="142"/>
      <c r="B28" s="102" t="str">
        <f>'Q_SG&amp;A'!B28</f>
        <v>소모품비</v>
      </c>
      <c r="C28" s="103" t="str">
        <f>'Q_SG&amp;A'!C28</f>
        <v>Supplies Expenses</v>
      </c>
      <c r="D28" s="476">
        <v>199.61600000000001</v>
      </c>
      <c r="E28" s="317">
        <v>253.261</v>
      </c>
      <c r="F28" s="318">
        <f t="shared" si="0"/>
        <v>0.26874098268675839</v>
      </c>
      <c r="G28" s="317">
        <v>252.99799999999999</v>
      </c>
      <c r="H28" s="318">
        <f t="shared" si="1"/>
        <v>-1.038454400796085E-3</v>
      </c>
      <c r="I28" s="317">
        <v>130.80500000000001</v>
      </c>
      <c r="J28" s="318">
        <f t="shared" si="7"/>
        <v>-0.48298010260950675</v>
      </c>
      <c r="K28" s="317">
        <v>160.89800000000002</v>
      </c>
      <c r="L28" s="318">
        <f t="shared" si="8"/>
        <v>0.23006001299644518</v>
      </c>
      <c r="M28" s="317">
        <v>144.54231900000002</v>
      </c>
      <c r="N28" s="318">
        <f t="shared" si="9"/>
        <v>-0.10165248169647856</v>
      </c>
      <c r="O28" s="317">
        <v>137.94499999999999</v>
      </c>
      <c r="P28" s="318">
        <f t="shared" si="9"/>
        <v>-4.5642819664461265E-2</v>
      </c>
      <c r="Q28" s="317">
        <v>195.06299999999999</v>
      </c>
      <c r="R28" s="318">
        <f t="shared" si="6"/>
        <v>0.41406357606292366</v>
      </c>
      <c r="S28" s="1050"/>
      <c r="T28" s="1050"/>
      <c r="U28" s="14"/>
    </row>
    <row r="29" spans="1:21" ht="16.2" customHeight="1" outlineLevel="1">
      <c r="B29" s="102" t="str">
        <f>'Q_SG&amp;A'!B29</f>
        <v>판매촉진비</v>
      </c>
      <c r="C29" s="103" t="str">
        <f>'Q_SG&amp;A'!C29</f>
        <v>Sales Promotion Expenses</v>
      </c>
      <c r="D29" s="476">
        <v>26.734000000000002</v>
      </c>
      <c r="E29" s="317">
        <v>12.875999999999999</v>
      </c>
      <c r="F29" s="318">
        <f t="shared" si="0"/>
        <v>-0.51836612553302919</v>
      </c>
      <c r="G29" s="317">
        <v>47.385000000000005</v>
      </c>
      <c r="H29" s="318">
        <f t="shared" si="1"/>
        <v>2.6801025163094132</v>
      </c>
      <c r="I29" s="317">
        <v>45.275999999999996</v>
      </c>
      <c r="J29" s="318">
        <f t="shared" si="7"/>
        <v>-4.4507755618866884E-2</v>
      </c>
      <c r="K29" s="317">
        <v>168.73000000000002</v>
      </c>
      <c r="L29" s="318">
        <f t="shared" si="8"/>
        <v>2.7266984715964315</v>
      </c>
      <c r="M29" s="317">
        <v>173.92851100000001</v>
      </c>
      <c r="N29" s="318">
        <f t="shared" si="9"/>
        <v>3.0809642624310962E-2</v>
      </c>
      <c r="O29" s="317">
        <v>190.666</v>
      </c>
      <c r="P29" s="318">
        <f t="shared" si="9"/>
        <v>9.6232003044055103E-2</v>
      </c>
      <c r="Q29" s="317">
        <v>22.245999999999999</v>
      </c>
      <c r="R29" s="318">
        <f t="shared" si="6"/>
        <v>-0.8833247668698142</v>
      </c>
      <c r="S29" s="1050"/>
      <c r="T29" s="1050"/>
      <c r="U29" s="14"/>
    </row>
    <row r="30" spans="1:21" ht="16.2" customHeight="1" outlineLevel="1">
      <c r="B30" s="102" t="str">
        <f>'Q_SG&amp;A'!B30</f>
        <v>수출제비용</v>
      </c>
      <c r="C30" s="103" t="str">
        <f>'Q_SG&amp;A'!C30</f>
        <v>Export Expenses</v>
      </c>
      <c r="D30" s="476">
        <v>82.222999999999999</v>
      </c>
      <c r="E30" s="317">
        <v>170.822</v>
      </c>
      <c r="F30" s="318">
        <f>E30/D30-1</f>
        <v>1.0775452124101528</v>
      </c>
      <c r="G30" s="317">
        <v>180.38499999999999</v>
      </c>
      <c r="H30" s="318">
        <f>G30/E30-1</f>
        <v>5.5982250529791111E-2</v>
      </c>
      <c r="I30" s="317">
        <v>143.02199999999999</v>
      </c>
      <c r="J30" s="318">
        <f>I30/G30-1</f>
        <v>-0.20712919588657597</v>
      </c>
      <c r="K30" s="317">
        <v>329.28100000000006</v>
      </c>
      <c r="L30" s="318">
        <f>K30/I30-1</f>
        <v>1.3023101341052432</v>
      </c>
      <c r="M30" s="317">
        <v>229.47045</v>
      </c>
      <c r="N30" s="318">
        <f>M30/K30-1</f>
        <v>-0.30311663898008101</v>
      </c>
      <c r="O30" s="317">
        <v>208.87200000000001</v>
      </c>
      <c r="P30" s="318">
        <f>O30/M30-1</f>
        <v>-8.9765152768036094E-2</v>
      </c>
      <c r="Q30" s="317">
        <v>193.47400000000002</v>
      </c>
      <c r="R30" s="318">
        <f>Q30/O30-1</f>
        <v>-7.3719790110689742E-2</v>
      </c>
      <c r="S30" s="1050"/>
      <c r="T30" s="1050"/>
      <c r="U30" s="14"/>
    </row>
    <row r="31" spans="1:21" s="124" customFormat="1" ht="16.2" customHeight="1" outlineLevel="1">
      <c r="A31" s="141"/>
      <c r="B31" s="102" t="str">
        <f>'Q_SG&amp;A'!B31</f>
        <v>견본비</v>
      </c>
      <c r="C31" s="103" t="str">
        <f>'Q_SG&amp;A'!C31</f>
        <v>Sample Expenses</v>
      </c>
      <c r="D31" s="476">
        <v>242.755</v>
      </c>
      <c r="E31" s="317">
        <v>545.87399999999991</v>
      </c>
      <c r="F31" s="318">
        <f>E31/D31-1</f>
        <v>1.2486622314679408</v>
      </c>
      <c r="G31" s="317">
        <v>671.84699999999998</v>
      </c>
      <c r="H31" s="318">
        <f>G31/E31-1</f>
        <v>0.23077303553567319</v>
      </c>
      <c r="I31" s="317">
        <v>98.924000000000007</v>
      </c>
      <c r="J31" s="318">
        <f>I31/G31-1</f>
        <v>-0.85275814285097651</v>
      </c>
      <c r="K31" s="317">
        <v>306.964</v>
      </c>
      <c r="L31" s="318">
        <f>K31/I31-1</f>
        <v>2.1030285876026036</v>
      </c>
      <c r="M31" s="317">
        <v>745.19846300000006</v>
      </c>
      <c r="N31" s="318">
        <f>M31/K31-1</f>
        <v>1.4276412315450675</v>
      </c>
      <c r="O31" s="317">
        <v>1402.828</v>
      </c>
      <c r="P31" s="318">
        <f>O31/M31-1</f>
        <v>0.88248912155901738</v>
      </c>
      <c r="Q31" s="317">
        <v>1970.1759999999999</v>
      </c>
      <c r="R31" s="318">
        <f>Q31/O31-1</f>
        <v>0.40443161955706608</v>
      </c>
      <c r="S31" s="1050"/>
      <c r="T31" s="1050"/>
      <c r="U31" s="14"/>
    </row>
    <row r="32" spans="1:21" s="124" customFormat="1" ht="16.2" customHeight="1" outlineLevel="1">
      <c r="A32" s="141"/>
      <c r="B32" s="102" t="str">
        <f>'Q_SG&amp;A'!B32</f>
        <v>건물관리비</v>
      </c>
      <c r="C32" s="103" t="str">
        <f>'Q_SG&amp;A'!C32</f>
        <v>Building Maintenance Expenses</v>
      </c>
      <c r="D32" s="476" t="s">
        <v>113</v>
      </c>
      <c r="E32" s="317" t="s">
        <v>113</v>
      </c>
      <c r="F32" s="318" t="s">
        <v>113</v>
      </c>
      <c r="G32" s="317" t="s">
        <v>113</v>
      </c>
      <c r="H32" s="318" t="s">
        <v>113</v>
      </c>
      <c r="I32" s="317" t="s">
        <v>113</v>
      </c>
      <c r="J32" s="318" t="s">
        <v>113</v>
      </c>
      <c r="K32" s="317" t="s">
        <v>113</v>
      </c>
      <c r="L32" s="318" t="s">
        <v>113</v>
      </c>
      <c r="M32" s="317" t="s">
        <v>113</v>
      </c>
      <c r="N32" s="318" t="s">
        <v>113</v>
      </c>
      <c r="O32" s="317" t="s">
        <v>113</v>
      </c>
      <c r="P32" s="318" t="s">
        <v>113</v>
      </c>
      <c r="Q32" s="317">
        <v>264.399</v>
      </c>
      <c r="R32" s="318" t="s">
        <v>3</v>
      </c>
      <c r="S32" s="1050"/>
      <c r="T32" s="1050"/>
      <c r="U32" s="14"/>
    </row>
    <row r="33" spans="1:23" ht="16.2" customHeight="1" outlineLevel="1">
      <c r="B33" s="102" t="str">
        <f>'Q_SG&amp;A'!B33</f>
        <v>회의비</v>
      </c>
      <c r="C33" s="103" t="str">
        <f>'Q_SG&amp;A'!C33</f>
        <v>Meeting Expenses</v>
      </c>
      <c r="D33" s="476">
        <v>3.367</v>
      </c>
      <c r="E33" s="317">
        <v>6.819</v>
      </c>
      <c r="F33" s="318">
        <f>E33/D33-1</f>
        <v>1.0252450252450251</v>
      </c>
      <c r="G33" s="317">
        <v>2.58</v>
      </c>
      <c r="H33" s="318">
        <f>G33/E33-1</f>
        <v>-0.62164540255169376</v>
      </c>
      <c r="I33" s="317">
        <v>0.06</v>
      </c>
      <c r="J33" s="318">
        <f>I33/G33-1</f>
        <v>-0.97674418604651159</v>
      </c>
      <c r="K33" s="317">
        <v>14.049999999999999</v>
      </c>
      <c r="L33" s="318">
        <f>K33/I33-1</f>
        <v>233.16666666666666</v>
      </c>
      <c r="M33" s="317">
        <v>2.2970000000000002</v>
      </c>
      <c r="N33" s="318">
        <f>M33/K33-1</f>
        <v>-0.83651245551601416</v>
      </c>
      <c r="O33" s="317">
        <v>1.76</v>
      </c>
      <c r="P33" s="318">
        <f>O33/M33-1</f>
        <v>-0.23378319547235527</v>
      </c>
      <c r="Q33" s="317">
        <v>0.6</v>
      </c>
      <c r="R33" s="318">
        <f>Q33/O33-1</f>
        <v>-0.65909090909090917</v>
      </c>
      <c r="S33" s="1050"/>
      <c r="T33" s="1050"/>
      <c r="U33" s="14"/>
    </row>
    <row r="34" spans="1:23" s="124" customFormat="1" ht="16.2" customHeight="1" outlineLevel="1">
      <c r="A34" s="141"/>
      <c r="B34" s="102" t="str">
        <f>'Q_SG&amp;A'!B34</f>
        <v>잡급</v>
      </c>
      <c r="C34" s="103" t="str">
        <f>'Q_SG&amp;A'!C34</f>
        <v xml:space="preserve">Miscellaneous Wages </v>
      </c>
      <c r="D34" s="476" t="s">
        <v>3</v>
      </c>
      <c r="E34" s="317" t="s">
        <v>3</v>
      </c>
      <c r="F34" s="318" t="s">
        <v>3</v>
      </c>
      <c r="G34" s="317" t="s">
        <v>3</v>
      </c>
      <c r="H34" s="318" t="s">
        <v>3</v>
      </c>
      <c r="I34" s="317" t="s">
        <v>3</v>
      </c>
      <c r="J34" s="318" t="s">
        <v>3</v>
      </c>
      <c r="K34" s="317" t="s">
        <v>3</v>
      </c>
      <c r="L34" s="318" t="s">
        <v>3</v>
      </c>
      <c r="M34" s="317">
        <v>0</v>
      </c>
      <c r="N34" s="318" t="s">
        <v>3</v>
      </c>
      <c r="O34" s="317">
        <v>31.538</v>
      </c>
      <c r="P34" s="318" t="s">
        <v>3</v>
      </c>
      <c r="Q34" s="317">
        <v>60.911000000000001</v>
      </c>
      <c r="R34" s="318">
        <f>Q34/O34-1</f>
        <v>0.93135265394127731</v>
      </c>
      <c r="S34" s="1050"/>
      <c r="T34" s="1050"/>
      <c r="U34" s="14"/>
    </row>
    <row r="35" spans="1:23" ht="16.2" customHeight="1" outlineLevel="1">
      <c r="B35" s="102" t="s">
        <v>452</v>
      </c>
      <c r="C35" s="103" t="s">
        <v>451</v>
      </c>
      <c r="D35" s="476">
        <v>64.316999999999993</v>
      </c>
      <c r="E35" s="317">
        <v>44.683999999999997</v>
      </c>
      <c r="F35" s="318">
        <v>0</v>
      </c>
      <c r="G35" s="317">
        <v>185.83499999999998</v>
      </c>
      <c r="H35" s="318">
        <v>0</v>
      </c>
      <c r="I35" s="317">
        <v>198.52699999999999</v>
      </c>
      <c r="J35" s="318">
        <v>0</v>
      </c>
      <c r="K35" s="317">
        <v>-101.2</v>
      </c>
      <c r="L35" s="318">
        <v>0</v>
      </c>
      <c r="M35" s="317">
        <v>19.724862000000002</v>
      </c>
      <c r="N35" s="318">
        <v>0</v>
      </c>
      <c r="O35" s="317">
        <v>449.68900000000002</v>
      </c>
      <c r="P35" s="318">
        <v>0</v>
      </c>
      <c r="Q35" s="317">
        <v>36.432999999999979</v>
      </c>
      <c r="R35" s="318">
        <v>0</v>
      </c>
      <c r="S35" s="1050"/>
      <c r="T35" s="1050"/>
      <c r="U35" s="14"/>
    </row>
    <row r="36" spans="1:23" s="126" customFormat="1" ht="16.2" customHeight="1">
      <c r="A36" s="141"/>
      <c r="B36" s="644" t="str">
        <f>'Q_SG&amp;A'!B36</f>
        <v>합 계</v>
      </c>
      <c r="C36" s="645" t="str">
        <f>'Q_SG&amp;A'!C36</f>
        <v>Total</v>
      </c>
      <c r="D36" s="646">
        <f>SUM(D3:D11)</f>
        <v>13214.832999999999</v>
      </c>
      <c r="E36" s="649">
        <f>SUM(E3:E11)</f>
        <v>17226.437999999998</v>
      </c>
      <c r="F36" s="650">
        <f>E36/D36-1</f>
        <v>0.30356834626665363</v>
      </c>
      <c r="G36" s="649">
        <f>SUM(G3:G11)</f>
        <v>22009.751</v>
      </c>
      <c r="H36" s="650">
        <f>G36/E36-1</f>
        <v>0.27767278412403096</v>
      </c>
      <c r="I36" s="649">
        <f>SUM(I3:I11)</f>
        <v>20350.686999999998</v>
      </c>
      <c r="J36" s="650">
        <f>I36/G36-1</f>
        <v>-7.5378590153064473E-2</v>
      </c>
      <c r="K36" s="649">
        <f>SUM(K3:K11)</f>
        <v>26139.942999999999</v>
      </c>
      <c r="L36" s="650">
        <f>K36/I36-1</f>
        <v>0.28447472068141977</v>
      </c>
      <c r="M36" s="649">
        <f>SUM(M3:M11)</f>
        <v>39290.816356000003</v>
      </c>
      <c r="N36" s="650">
        <f>M36/K36-1</f>
        <v>0.50309495150773675</v>
      </c>
      <c r="O36" s="649">
        <f>SUM(O3:O11)</f>
        <v>50826.681999999993</v>
      </c>
      <c r="P36" s="650">
        <f>O36/M36-1</f>
        <v>0.29360208603144433</v>
      </c>
      <c r="Q36" s="649">
        <f>SUM(Q3:Q11)</f>
        <v>68684.934000000008</v>
      </c>
      <c r="R36" s="692">
        <f>Q36/O36-1</f>
        <v>0.35135584888267979</v>
      </c>
      <c r="S36" s="649">
        <f>'C_SG&amp;A'!AI36</f>
        <v>90490.967406000011</v>
      </c>
      <c r="T36" s="692">
        <f t="shared" ref="T36" si="10">S36/Q36-1</f>
        <v>0.31747913459449495</v>
      </c>
      <c r="W36" s="691"/>
    </row>
    <row r="37" spans="1:23" ht="16.2" customHeight="1">
      <c r="B37" s="94"/>
      <c r="C37" s="94"/>
    </row>
    <row r="38" spans="1:23" ht="16.2" customHeight="1">
      <c r="B38" s="94"/>
      <c r="C38" s="94"/>
      <c r="U38" s="693"/>
    </row>
    <row r="39" spans="1:23" ht="16.2" customHeight="1">
      <c r="B39" s="94"/>
      <c r="C39" s="94"/>
    </row>
    <row r="40" spans="1:23" ht="16.2" customHeight="1">
      <c r="B40" s="94"/>
      <c r="C40" s="94"/>
    </row>
    <row r="41" spans="1:23" ht="16.2" customHeight="1">
      <c r="B41" s="94"/>
      <c r="C41" s="94"/>
    </row>
    <row r="42" spans="1:23" ht="16.2" customHeight="1">
      <c r="B42" s="94"/>
      <c r="C42" s="94"/>
    </row>
    <row r="43" spans="1:23" ht="16.2" customHeight="1">
      <c r="B43" s="94"/>
      <c r="C43" s="94"/>
    </row>
    <row r="44" spans="1:23" ht="16.2" customHeight="1">
      <c r="A44" s="142"/>
      <c r="B44" s="94"/>
      <c r="C44" s="94"/>
    </row>
    <row r="45" spans="1:23" ht="16.2" customHeight="1">
      <c r="A45" s="144"/>
      <c r="B45" s="94"/>
      <c r="C45" s="94"/>
    </row>
    <row r="46" spans="1:23" ht="16.2" customHeight="1">
      <c r="A46" s="142"/>
      <c r="B46" s="94"/>
      <c r="C46" s="94"/>
    </row>
    <row r="47" spans="1:23" ht="16.2" customHeight="1">
      <c r="A47" s="145"/>
      <c r="B47" s="94"/>
      <c r="C47" s="94"/>
    </row>
    <row r="48" spans="1:23" ht="16.2" customHeight="1">
      <c r="A48" s="145"/>
      <c r="B48" s="94"/>
      <c r="C48" s="94"/>
    </row>
    <row r="49" spans="1:3" ht="16.2" customHeight="1">
      <c r="A49" s="142"/>
      <c r="B49" s="94"/>
      <c r="C49" s="94"/>
    </row>
    <row r="50" spans="1:3" ht="16.2" customHeight="1">
      <c r="A50" s="145"/>
      <c r="B50" s="94"/>
      <c r="C50" s="94"/>
    </row>
    <row r="51" spans="1:3" ht="16.2" customHeight="1">
      <c r="A51" s="145"/>
      <c r="B51" s="94"/>
      <c r="C51" s="94"/>
    </row>
    <row r="52" spans="1:3" ht="16.2" customHeight="1">
      <c r="A52" s="142"/>
      <c r="B52" s="94"/>
      <c r="C52" s="94"/>
    </row>
    <row r="53" spans="1:3" ht="16.2" customHeight="1">
      <c r="A53" s="145"/>
      <c r="B53" s="94"/>
      <c r="C53" s="94"/>
    </row>
    <row r="54" spans="1:3" ht="16.2" customHeight="1">
      <c r="A54" s="145"/>
      <c r="B54" s="94"/>
      <c r="C54" s="94"/>
    </row>
    <row r="55" spans="1:3" ht="16.2" customHeight="1">
      <c r="A55" s="142"/>
      <c r="B55" s="94"/>
      <c r="C55" s="94"/>
    </row>
    <row r="56" spans="1:3" ht="16.2" customHeight="1">
      <c r="A56" s="146"/>
      <c r="B56" s="94"/>
      <c r="C56" s="94"/>
    </row>
    <row r="57" spans="1:3" ht="16.2" customHeight="1">
      <c r="A57" s="145"/>
      <c r="B57" s="94"/>
      <c r="C57" s="94"/>
    </row>
    <row r="58" spans="1:3" ht="16.2" customHeight="1">
      <c r="A58" s="145"/>
      <c r="B58" s="94"/>
      <c r="C58" s="94"/>
    </row>
    <row r="59" spans="1:3" ht="16.2" customHeight="1">
      <c r="A59" s="147"/>
      <c r="B59" s="94"/>
      <c r="C59" s="94"/>
    </row>
    <row r="60" spans="1:3" ht="16.2" customHeight="1">
      <c r="B60" s="94"/>
      <c r="C60" s="94"/>
    </row>
    <row r="61" spans="1:3" ht="16.2" customHeight="1">
      <c r="B61" s="94"/>
      <c r="C61" s="94"/>
    </row>
    <row r="62" spans="1:3" ht="16.2" customHeight="1">
      <c r="B62" s="94"/>
      <c r="C62" s="94"/>
    </row>
    <row r="63" spans="1:3" ht="16.2" customHeight="1">
      <c r="B63" s="94"/>
      <c r="C63" s="94"/>
    </row>
    <row r="64" spans="1:3" ht="16.2" customHeight="1">
      <c r="B64" s="94"/>
      <c r="C64" s="94"/>
    </row>
    <row r="65" spans="2:3" ht="16.2" customHeight="1">
      <c r="B65" s="94"/>
      <c r="C65" s="94"/>
    </row>
    <row r="66" spans="2:3" ht="16.2" customHeight="1">
      <c r="B66" s="94"/>
      <c r="C66" s="94"/>
    </row>
    <row r="67" spans="2:3" ht="16.2" customHeight="1">
      <c r="B67" s="94"/>
      <c r="C67" s="94"/>
    </row>
    <row r="68" spans="2:3" ht="16.2" customHeight="1">
      <c r="B68" s="94"/>
      <c r="C68" s="94"/>
    </row>
    <row r="69" spans="2:3" ht="16.2" customHeight="1">
      <c r="B69" s="94"/>
      <c r="C69" s="94"/>
    </row>
    <row r="70" spans="2:3" ht="16.2" customHeight="1">
      <c r="B70" s="94"/>
      <c r="C70" s="94"/>
    </row>
    <row r="71" spans="2:3" ht="16.2" customHeight="1">
      <c r="B71" s="94"/>
      <c r="C71" s="94"/>
    </row>
    <row r="72" spans="2:3" ht="16.2" customHeight="1">
      <c r="B72" s="94"/>
      <c r="C72" s="94"/>
    </row>
    <row r="73" spans="2:3" ht="16.2" customHeight="1">
      <c r="B73" s="94"/>
      <c r="C73" s="94"/>
    </row>
    <row r="74" spans="2:3" ht="16.2" customHeight="1">
      <c r="B74" s="94"/>
      <c r="C74" s="94"/>
    </row>
    <row r="75" spans="2:3" ht="16.2" customHeight="1">
      <c r="B75" s="94"/>
      <c r="C75" s="94"/>
    </row>
    <row r="76" spans="2:3" ht="16.2" customHeight="1">
      <c r="B76" s="94"/>
      <c r="C76" s="94"/>
    </row>
    <row r="77" spans="2:3" ht="16.2" customHeight="1">
      <c r="B77" s="94"/>
      <c r="C77" s="94"/>
    </row>
    <row r="78" spans="2:3" ht="16.2" customHeight="1">
      <c r="B78" s="94"/>
      <c r="C78" s="94"/>
    </row>
    <row r="79" spans="2:3" ht="16.2" customHeight="1">
      <c r="B79" s="94"/>
      <c r="C79" s="94"/>
    </row>
    <row r="80" spans="2:3" ht="16.2" customHeight="1">
      <c r="B80" s="94"/>
      <c r="C80" s="94"/>
    </row>
    <row r="81" spans="2:3" ht="16.2" customHeight="1">
      <c r="B81" s="94"/>
      <c r="C81" s="94"/>
    </row>
    <row r="82" spans="2:3" ht="16.2" customHeight="1">
      <c r="B82" s="94"/>
      <c r="C82" s="94"/>
    </row>
    <row r="83" spans="2:3" ht="16.2" customHeight="1">
      <c r="B83" s="94"/>
      <c r="C83" s="94"/>
    </row>
    <row r="84" spans="2:3" ht="16.2" customHeight="1">
      <c r="B84" s="94"/>
      <c r="C84" s="94"/>
    </row>
    <row r="85" spans="2:3" ht="16.2" customHeight="1">
      <c r="B85" s="94"/>
      <c r="C85" s="94"/>
    </row>
    <row r="86" spans="2:3" ht="16.2" customHeight="1">
      <c r="B86" s="94"/>
      <c r="C86" s="94"/>
    </row>
    <row r="87" spans="2:3" ht="16.2" customHeight="1">
      <c r="B87" s="94"/>
      <c r="C87" s="94"/>
    </row>
    <row r="88" spans="2:3" ht="16.2" customHeight="1">
      <c r="B88" s="94"/>
      <c r="C88" s="94"/>
    </row>
    <row r="89" spans="2:3" ht="16.2" customHeight="1">
      <c r="B89" s="94"/>
      <c r="C89" s="94"/>
    </row>
    <row r="90" spans="2:3" ht="16.2" customHeight="1">
      <c r="B90" s="94"/>
      <c r="C90" s="94"/>
    </row>
    <row r="91" spans="2:3" ht="16.2" customHeight="1">
      <c r="B91" s="94"/>
      <c r="C91" s="94"/>
    </row>
    <row r="92" spans="2:3" ht="16.2" customHeight="1">
      <c r="B92" s="94"/>
      <c r="C92" s="94"/>
    </row>
    <row r="93" spans="2:3" ht="16.2" customHeight="1">
      <c r="B93" s="94"/>
      <c r="C93" s="94"/>
    </row>
    <row r="94" spans="2:3" ht="16.2" customHeight="1">
      <c r="B94" s="94"/>
      <c r="C94" s="94"/>
    </row>
    <row r="95" spans="2:3" ht="16.2" customHeight="1">
      <c r="B95" s="94"/>
      <c r="C95" s="94"/>
    </row>
    <row r="96" spans="2:3" ht="16.2" customHeight="1">
      <c r="B96" s="94"/>
      <c r="C96" s="94"/>
    </row>
    <row r="97" spans="2:3" ht="16.2" customHeight="1">
      <c r="B97" s="94"/>
      <c r="C97" s="94"/>
    </row>
    <row r="98" spans="2:3" ht="16.2" customHeight="1">
      <c r="B98" s="94"/>
      <c r="C98" s="94"/>
    </row>
    <row r="99" spans="2:3" ht="16.2" customHeight="1">
      <c r="B99" s="94"/>
      <c r="C99" s="94"/>
    </row>
    <row r="100" spans="2:3" ht="16.2" customHeight="1">
      <c r="B100" s="94"/>
      <c r="C100" s="94"/>
    </row>
    <row r="101" spans="2:3" ht="16.2" customHeight="1">
      <c r="B101" s="94"/>
      <c r="C101" s="94"/>
    </row>
    <row r="102" spans="2:3" ht="16.2" customHeight="1">
      <c r="B102" s="94"/>
      <c r="C102" s="94"/>
    </row>
    <row r="103" spans="2:3" ht="16.2" customHeight="1">
      <c r="B103" s="94"/>
      <c r="C103" s="94"/>
    </row>
    <row r="104" spans="2:3" ht="16.2" customHeight="1">
      <c r="B104" s="94"/>
      <c r="C104" s="94"/>
    </row>
    <row r="105" spans="2:3" ht="16.2" customHeight="1">
      <c r="B105" s="94"/>
      <c r="C105" s="94"/>
    </row>
    <row r="106" spans="2:3" ht="16.2" customHeight="1">
      <c r="B106" s="94"/>
      <c r="C106" s="94"/>
    </row>
    <row r="107" spans="2:3" ht="16.2" customHeight="1">
      <c r="B107" s="94"/>
      <c r="C107" s="94"/>
    </row>
    <row r="108" spans="2:3" ht="16.2" customHeight="1">
      <c r="B108" s="94"/>
      <c r="C108" s="94"/>
    </row>
  </sheetData>
  <mergeCells count="1">
    <mergeCell ref="S12:T35"/>
  </mergeCells>
  <phoneticPr fontId="3" type="noConversion"/>
  <conditionalFormatting sqref="F3:F36 H3:H36 J3:J36 L3:L36 N3:N36 P3:P36 R3:R36">
    <cfRule type="cellIs" dxfId="35" priority="5" operator="lessThan">
      <formula>0</formula>
    </cfRule>
    <cfRule type="cellIs" dxfId="34" priority="6" operator="greaterThan">
      <formula>0</formula>
    </cfRule>
  </conditionalFormatting>
  <conditionalFormatting sqref="T3:T11 T36">
    <cfRule type="cellIs" dxfId="33" priority="1" operator="lessThan">
      <formula>0</formula>
    </cfRule>
    <cfRule type="cellIs" dxfId="32" priority="2" operator="greaterThan">
      <formula>0</formula>
    </cfRule>
  </conditionalFormatting>
  <pageMargins left="0.25" right="0.25" top="0.75" bottom="0.75" header="0.3" footer="0.3"/>
  <pageSetup paperSize="9" scale="70" fitToHeight="0"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F481A4-3C9F-499D-9ADF-9FF0381ACB29}">
  <sheetPr>
    <pageSetUpPr fitToPage="1"/>
  </sheetPr>
  <dimension ref="A1:BN102"/>
  <sheetViews>
    <sheetView showGridLines="0" view="pageBreakPreview" zoomScaleNormal="100" zoomScaleSheetLayoutView="100" workbookViewId="0">
      <pane xSplit="4" ySplit="2" topLeftCell="E32" activePane="bottomRight" state="frozen"/>
      <selection pane="topRight" activeCell="D1" sqref="D1"/>
      <selection pane="bottomLeft" activeCell="A2" sqref="A2"/>
      <selection pane="bottomRight" activeCell="S95" sqref="S95"/>
    </sheetView>
  </sheetViews>
  <sheetFormatPr defaultColWidth="8.69921875" defaultRowHeight="16.95" customHeight="1" outlineLevelCol="1"/>
  <cols>
    <col min="1" max="1" width="7" style="380" bestFit="1" customWidth="1"/>
    <col min="2" max="2" width="3.5" style="28" customWidth="1"/>
    <col min="3" max="3" width="19.5" style="8" customWidth="1"/>
    <col min="4" max="4" width="25.69921875" style="8" customWidth="1"/>
    <col min="5" max="6" width="9.19921875" style="175" hidden="1" customWidth="1" outlineLevel="1"/>
    <col min="7" max="7" width="7.09765625" style="501" hidden="1" customWidth="1" outlineLevel="1"/>
    <col min="8" max="8" width="9.19921875" style="175" hidden="1" customWidth="1" outlineLevel="1"/>
    <col min="9" max="9" width="7.09765625" style="501" hidden="1" customWidth="1" outlineLevel="1"/>
    <col min="10" max="10" width="9.19921875" style="175" hidden="1" customWidth="1" outlineLevel="1"/>
    <col min="11" max="11" width="7.09765625" style="501" hidden="1" customWidth="1" outlineLevel="1"/>
    <col min="12" max="12" width="9.19921875" style="175" hidden="1" customWidth="1" outlineLevel="1" collapsed="1"/>
    <col min="13" max="13" width="8" style="501" hidden="1" customWidth="1" outlineLevel="1"/>
    <col min="14" max="14" width="9.19921875" style="175" hidden="1" customWidth="1" outlineLevel="1"/>
    <col min="15" max="15" width="9.3984375" style="501" hidden="1" customWidth="1" outlineLevel="1"/>
    <col min="16" max="16" width="9.19921875" style="175" customWidth="1" collapsed="1"/>
    <col min="17" max="17" width="7.09765625" style="501" bestFit="1" customWidth="1"/>
    <col min="18" max="18" width="9.19921875" style="175" customWidth="1"/>
    <col min="19" max="19" width="8" style="501" bestFit="1" customWidth="1"/>
    <col min="20" max="20" width="9.19921875" style="175" customWidth="1"/>
    <col min="21" max="21" width="8" style="501" bestFit="1" customWidth="1"/>
    <col min="22" max="16384" width="8.69921875" style="8"/>
  </cols>
  <sheetData>
    <row r="1" spans="1:66" ht="16.2" customHeight="1">
      <c r="A1" s="508"/>
      <c r="B1" s="14" t="s">
        <v>461</v>
      </c>
      <c r="C1" s="14"/>
      <c r="E1" s="419"/>
      <c r="F1" s="419"/>
      <c r="H1" s="419"/>
      <c r="J1" s="419"/>
      <c r="L1" s="419"/>
      <c r="N1" s="419"/>
      <c r="P1" s="419"/>
      <c r="R1" s="8" t="s">
        <v>315</v>
      </c>
      <c r="T1" s="8"/>
      <c r="W1" s="7"/>
      <c r="X1" s="7"/>
      <c r="AD1" s="7"/>
      <c r="AF1" s="7"/>
      <c r="AG1" s="7"/>
      <c r="AI1" s="7"/>
      <c r="AJ1" s="7"/>
      <c r="AM1" s="7"/>
      <c r="AP1" s="7"/>
      <c r="AR1" s="7"/>
      <c r="AS1" s="7"/>
      <c r="AU1" s="7"/>
      <c r="AV1" s="7"/>
      <c r="AY1" s="7"/>
      <c r="BB1" s="7"/>
      <c r="BD1" s="7"/>
      <c r="BE1" s="7"/>
      <c r="BG1" s="7"/>
      <c r="BH1" s="7"/>
      <c r="BK1" s="7"/>
      <c r="BN1" s="7"/>
    </row>
    <row r="2" spans="1:66" s="14" customFormat="1" ht="16.2" customHeight="1">
      <c r="A2" s="380">
        <v>1</v>
      </c>
      <c r="B2" s="432"/>
      <c r="C2" s="433" t="str">
        <f>C_BS!C2</f>
        <v>(단위 : 백만원)</v>
      </c>
      <c r="D2" s="37" t="str">
        <f>C_BS!D2</f>
        <v>(Unit: Million KRW)</v>
      </c>
      <c r="E2" s="325">
        <v>2017</v>
      </c>
      <c r="F2" s="325">
        <v>2018</v>
      </c>
      <c r="G2" s="502" t="s">
        <v>0</v>
      </c>
      <c r="H2" s="325">
        <v>2019</v>
      </c>
      <c r="I2" s="502" t="s">
        <v>0</v>
      </c>
      <c r="J2" s="325">
        <v>2020</v>
      </c>
      <c r="K2" s="502" t="s">
        <v>0</v>
      </c>
      <c r="L2" s="325">
        <v>2021</v>
      </c>
      <c r="M2" s="502" t="s">
        <v>0</v>
      </c>
      <c r="N2" s="325">
        <v>2022</v>
      </c>
      <c r="O2" s="502" t="s">
        <v>0</v>
      </c>
      <c r="P2" s="325">
        <v>2023</v>
      </c>
      <c r="Q2" s="502" t="s">
        <v>0</v>
      </c>
      <c r="R2" s="325">
        <v>2024</v>
      </c>
      <c r="S2" s="502" t="s">
        <v>0</v>
      </c>
      <c r="T2" s="325">
        <v>2025</v>
      </c>
      <c r="U2" s="502" t="s">
        <v>77</v>
      </c>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c r="BI2" s="9"/>
      <c r="BJ2" s="9"/>
      <c r="BK2" s="9"/>
      <c r="BL2" s="9"/>
      <c r="BM2" s="9"/>
      <c r="BN2" s="9"/>
    </row>
    <row r="3" spans="1:66" s="14" customFormat="1" ht="16.2" customHeight="1">
      <c r="A3" s="380">
        <f>+A2+1</f>
        <v>2</v>
      </c>
      <c r="B3" s="434" t="str">
        <f>C_BS!B3</f>
        <v>자산</v>
      </c>
      <c r="C3" s="435"/>
      <c r="D3" s="426" t="str">
        <f>C_BS!D3</f>
        <v>Total assets</v>
      </c>
      <c r="E3" s="421">
        <f>E14+E4</f>
        <v>63161.123272000004</v>
      </c>
      <c r="F3" s="421">
        <v>75677.203787000006</v>
      </c>
      <c r="G3" s="503">
        <f t="shared" ref="G3:G15" si="0">IFERROR(F3/E3-1,0)</f>
        <v>0.19816114512562044</v>
      </c>
      <c r="H3" s="421">
        <v>113657.44126300002</v>
      </c>
      <c r="I3" s="503">
        <f t="shared" ref="I3:I51" si="1">IFERROR(H3/F3-1,0)</f>
        <v>0.50187157526193293</v>
      </c>
      <c r="J3" s="421">
        <v>137526.116239</v>
      </c>
      <c r="K3" s="503">
        <f t="shared" ref="K3:K51" si="2">IFERROR(J3/H3-1,0)</f>
        <v>0.2100053873355161</v>
      </c>
      <c r="L3" s="421">
        <v>216379.20556199999</v>
      </c>
      <c r="M3" s="503">
        <f t="shared" ref="M3:M51" si="3">IFERROR(L3/J3-1,0)</f>
        <v>0.57336810985024123</v>
      </c>
      <c r="N3" s="421">
        <v>331411.10808899999</v>
      </c>
      <c r="O3" s="503">
        <f t="shared" ref="O3:Q51" si="4">IFERROR(N3/L3-1,0)</f>
        <v>0.53162179899971695</v>
      </c>
      <c r="P3" s="421">
        <v>375443.02176100004</v>
      </c>
      <c r="Q3" s="503">
        <f t="shared" si="4"/>
        <v>0.13286191258313318</v>
      </c>
      <c r="R3" s="421">
        <v>608378.808831</v>
      </c>
      <c r="S3" s="503">
        <f t="shared" ref="S3:S51" si="5">IFERROR(R3/P3-1,0)</f>
        <v>0.62042912923890348</v>
      </c>
      <c r="T3" s="421">
        <f>C_BS!CL3</f>
        <v>704650.4</v>
      </c>
      <c r="U3" s="503">
        <f>C_BS!CN3</f>
        <v>0.15824284109103992</v>
      </c>
      <c r="V3" s="123"/>
      <c r="W3" s="46"/>
      <c r="X3" s="46"/>
      <c r="Y3" s="123"/>
      <c r="Z3" s="46"/>
      <c r="AA3" s="46"/>
      <c r="AB3" s="123"/>
      <c r="AC3" s="46"/>
      <c r="AD3" s="46"/>
      <c r="AE3" s="123"/>
      <c r="AF3" s="46"/>
      <c r="AG3" s="46"/>
      <c r="AH3" s="123"/>
      <c r="AI3" s="46"/>
      <c r="AJ3" s="46"/>
      <c r="AK3" s="123"/>
      <c r="AL3" s="46"/>
      <c r="AM3" s="46"/>
      <c r="AN3" s="123"/>
      <c r="AO3" s="46"/>
      <c r="AP3" s="46"/>
      <c r="AQ3" s="123"/>
      <c r="AR3" s="46"/>
      <c r="AS3" s="46"/>
      <c r="AT3" s="123"/>
      <c r="AU3" s="46"/>
      <c r="AV3" s="46"/>
      <c r="AW3" s="123"/>
      <c r="AX3" s="46"/>
      <c r="AY3" s="46"/>
      <c r="AZ3" s="123"/>
      <c r="BA3" s="46"/>
      <c r="BB3" s="46"/>
      <c r="BC3" s="123"/>
      <c r="BD3" s="46"/>
      <c r="BE3" s="46"/>
      <c r="BF3" s="123"/>
      <c r="BG3" s="46"/>
      <c r="BH3" s="46"/>
      <c r="BI3" s="123"/>
      <c r="BJ3" s="46"/>
      <c r="BK3" s="46"/>
      <c r="BL3" s="123"/>
      <c r="BM3" s="46"/>
      <c r="BN3" s="46"/>
    </row>
    <row r="4" spans="1:66" s="14" customFormat="1" ht="16.2" customHeight="1">
      <c r="A4" s="380">
        <f t="shared" ref="A4:A51" si="6">+A3+1</f>
        <v>3</v>
      </c>
      <c r="B4" s="436" t="str">
        <f>C_BS!B4</f>
        <v>　유동자산</v>
      </c>
      <c r="C4" s="437"/>
      <c r="D4" s="427" t="str">
        <f>C_BS!D4</f>
        <v>Current assets</v>
      </c>
      <c r="E4" s="422">
        <f>SUM(E5:E13)</f>
        <v>27683.050808</v>
      </c>
      <c r="F4" s="422">
        <v>26596.473248000002</v>
      </c>
      <c r="G4" s="504">
        <f t="shared" si="0"/>
        <v>-3.9250643562955601E-2</v>
      </c>
      <c r="H4" s="422">
        <v>57647.141853000001</v>
      </c>
      <c r="I4" s="504">
        <f t="shared" si="1"/>
        <v>1.1674731576426187</v>
      </c>
      <c r="J4" s="422">
        <v>83012.388495000007</v>
      </c>
      <c r="K4" s="504">
        <f t="shared" si="2"/>
        <v>0.44000874677674906</v>
      </c>
      <c r="L4" s="422">
        <v>73140.020852000001</v>
      </c>
      <c r="M4" s="504">
        <f t="shared" si="3"/>
        <v>-0.11892643763159083</v>
      </c>
      <c r="N4" s="422">
        <v>147788.69051699998</v>
      </c>
      <c r="O4" s="504">
        <f t="shared" si="4"/>
        <v>1.0206268578464415</v>
      </c>
      <c r="P4" s="422">
        <v>185737.48307700001</v>
      </c>
      <c r="Q4" s="504">
        <f t="shared" si="4"/>
        <v>0.25677737875101347</v>
      </c>
      <c r="R4" s="422">
        <v>234201.82322299996</v>
      </c>
      <c r="S4" s="504">
        <f t="shared" si="5"/>
        <v>0.26092923917736299</v>
      </c>
      <c r="T4" s="422">
        <f>C_BS!CL4</f>
        <v>295771.89999999997</v>
      </c>
      <c r="U4" s="504">
        <f>C_BS!CN4</f>
        <v>0.2628932428009958</v>
      </c>
      <c r="V4" s="123"/>
      <c r="W4" s="46"/>
      <c r="X4" s="46"/>
      <c r="Y4" s="123"/>
      <c r="Z4" s="46"/>
      <c r="AA4" s="46"/>
      <c r="AB4" s="123"/>
      <c r="AC4" s="46"/>
      <c r="AD4" s="46"/>
      <c r="AE4" s="123"/>
      <c r="AF4" s="46"/>
      <c r="AG4" s="46"/>
      <c r="AH4" s="123"/>
      <c r="AI4" s="46"/>
      <c r="AJ4" s="46"/>
      <c r="AK4" s="123"/>
      <c r="AL4" s="46"/>
      <c r="AM4" s="46"/>
      <c r="AN4" s="123"/>
      <c r="AO4" s="46"/>
      <c r="AP4" s="46"/>
      <c r="AQ4" s="123"/>
      <c r="AR4" s="46"/>
      <c r="AS4" s="46"/>
      <c r="AT4" s="123"/>
      <c r="AU4" s="46"/>
      <c r="AV4" s="46"/>
      <c r="AW4" s="123"/>
      <c r="AX4" s="46"/>
      <c r="AY4" s="46"/>
      <c r="AZ4" s="123"/>
      <c r="BA4" s="46"/>
      <c r="BB4" s="46"/>
      <c r="BC4" s="123"/>
      <c r="BD4" s="46"/>
      <c r="BE4" s="46"/>
      <c r="BF4" s="123"/>
      <c r="BG4" s="46"/>
      <c r="BH4" s="46"/>
      <c r="BI4" s="123"/>
      <c r="BJ4" s="46"/>
      <c r="BK4" s="46"/>
      <c r="BL4" s="123"/>
      <c r="BM4" s="46"/>
      <c r="BN4" s="46"/>
    </row>
    <row r="5" spans="1:66" ht="16.2" customHeight="1">
      <c r="A5" s="380">
        <f t="shared" si="6"/>
        <v>4</v>
      </c>
      <c r="B5" s="438"/>
      <c r="C5" s="439" t="str">
        <f>C_BS!C5</f>
        <v>현금및현금성자산</v>
      </c>
      <c r="D5" s="428" t="str">
        <f>C_BS!D5</f>
        <v>Cash &amp; Cash Equivalents</v>
      </c>
      <c r="E5" s="423">
        <v>19219.930971999998</v>
      </c>
      <c r="F5" s="423">
        <v>10471.172528999999</v>
      </c>
      <c r="G5" s="505">
        <f t="shared" si="0"/>
        <v>-0.45519198043662978</v>
      </c>
      <c r="H5" s="423">
        <v>33976.505980000002</v>
      </c>
      <c r="I5" s="505">
        <f t="shared" si="1"/>
        <v>2.2447661315771263</v>
      </c>
      <c r="J5" s="423">
        <v>64383.495927999997</v>
      </c>
      <c r="K5" s="505">
        <f t="shared" si="2"/>
        <v>0.89494163896366574</v>
      </c>
      <c r="L5" s="423">
        <v>42788.254095999997</v>
      </c>
      <c r="M5" s="505">
        <f t="shared" si="3"/>
        <v>-0.33541580059818343</v>
      </c>
      <c r="N5" s="423">
        <v>26004.48544</v>
      </c>
      <c r="O5" s="505">
        <f t="shared" si="4"/>
        <v>-0.39225177588091875</v>
      </c>
      <c r="P5" s="423">
        <v>18336.205417000001</v>
      </c>
      <c r="Q5" s="505">
        <f t="shared" si="4"/>
        <v>-0.29488297473499248</v>
      </c>
      <c r="R5" s="423">
        <v>22745.070820000001</v>
      </c>
      <c r="S5" s="505">
        <f t="shared" si="5"/>
        <v>0.24044589939597971</v>
      </c>
      <c r="T5" s="423">
        <f>C_BS!CL5</f>
        <v>37521</v>
      </c>
      <c r="U5" s="505">
        <f>C_BS!CN5</f>
        <v>0.64963214653995949</v>
      </c>
      <c r="V5" s="124"/>
      <c r="W5" s="46"/>
      <c r="X5" s="46"/>
      <c r="Y5" s="124"/>
      <c r="Z5" s="46"/>
      <c r="AA5" s="46"/>
      <c r="AB5" s="124"/>
      <c r="AC5" s="46"/>
      <c r="AD5" s="46"/>
      <c r="AE5" s="124"/>
      <c r="AF5" s="46"/>
      <c r="AG5" s="46"/>
      <c r="AH5" s="124"/>
      <c r="AI5" s="46"/>
      <c r="AJ5" s="46"/>
      <c r="AK5" s="124"/>
      <c r="AL5" s="46"/>
      <c r="AM5" s="46"/>
      <c r="AN5" s="124"/>
      <c r="AO5" s="46"/>
      <c r="AP5" s="46"/>
      <c r="AQ5" s="124"/>
      <c r="AR5" s="46"/>
      <c r="AS5" s="46"/>
      <c r="AT5" s="124"/>
      <c r="AU5" s="46"/>
      <c r="AV5" s="46"/>
      <c r="AW5" s="124"/>
      <c r="AX5" s="46"/>
      <c r="AY5" s="46"/>
      <c r="AZ5" s="124"/>
      <c r="BA5" s="46"/>
      <c r="BB5" s="46"/>
      <c r="BC5" s="124"/>
      <c r="BD5" s="46"/>
      <c r="BE5" s="46"/>
      <c r="BF5" s="124"/>
      <c r="BG5" s="46"/>
      <c r="BH5" s="46"/>
      <c r="BI5" s="124"/>
      <c r="BJ5" s="46"/>
      <c r="BK5" s="46"/>
      <c r="BL5" s="124"/>
      <c r="BM5" s="46"/>
      <c r="BN5" s="46"/>
    </row>
    <row r="6" spans="1:66" ht="16.2" customHeight="1">
      <c r="A6" s="380">
        <f t="shared" si="6"/>
        <v>5</v>
      </c>
      <c r="B6" s="438"/>
      <c r="C6" s="439" t="str">
        <f>C_BS!C6</f>
        <v>단기금융상품</v>
      </c>
      <c r="D6" s="428" t="str">
        <f>C_BS!D6</f>
        <v>Short-Term Financial Instruments</v>
      </c>
      <c r="E6" s="423">
        <v>203.91583299999999</v>
      </c>
      <c r="F6" s="423">
        <v>6000</v>
      </c>
      <c r="G6" s="505">
        <f t="shared" si="0"/>
        <v>28.423904518488275</v>
      </c>
      <c r="H6" s="423">
        <v>7000</v>
      </c>
      <c r="I6" s="505">
        <f t="shared" si="1"/>
        <v>0.16666666666666674</v>
      </c>
      <c r="J6" s="423">
        <v>3240.7064639999999</v>
      </c>
      <c r="K6" s="505">
        <f t="shared" si="2"/>
        <v>-0.53704193371428577</v>
      </c>
      <c r="L6" s="423">
        <v>0</v>
      </c>
      <c r="M6" s="505">
        <f t="shared" si="3"/>
        <v>-1</v>
      </c>
      <c r="N6" s="423">
        <v>65377.445899999999</v>
      </c>
      <c r="O6" s="505">
        <f t="shared" si="4"/>
        <v>0</v>
      </c>
      <c r="P6" s="423">
        <v>90365.422000000006</v>
      </c>
      <c r="Q6" s="505">
        <f t="shared" si="4"/>
        <v>0.38221095602635047</v>
      </c>
      <c r="R6" s="423">
        <v>135296.36077599999</v>
      </c>
      <c r="S6" s="505">
        <f t="shared" si="5"/>
        <v>0.49721384332161889</v>
      </c>
      <c r="T6" s="423">
        <f>C_BS!CL6</f>
        <v>169526</v>
      </c>
      <c r="U6" s="505">
        <f>C_BS!CN6</f>
        <v>0.25299748661142085</v>
      </c>
      <c r="V6" s="124"/>
      <c r="W6" s="46"/>
      <c r="X6" s="46"/>
      <c r="Y6" s="124"/>
      <c r="Z6" s="46"/>
      <c r="AA6" s="46"/>
      <c r="AB6" s="124"/>
      <c r="AC6" s="46"/>
      <c r="AD6" s="46"/>
      <c r="AE6" s="124"/>
      <c r="AF6" s="46"/>
      <c r="AG6" s="46"/>
      <c r="AH6" s="124"/>
      <c r="AI6" s="46"/>
      <c r="AJ6" s="46"/>
      <c r="AK6" s="124"/>
      <c r="AL6" s="46"/>
      <c r="AM6" s="46"/>
      <c r="AN6" s="124"/>
      <c r="AO6" s="46"/>
      <c r="AP6" s="46"/>
      <c r="AQ6" s="124"/>
      <c r="AR6" s="46"/>
      <c r="AS6" s="46"/>
      <c r="AT6" s="124"/>
      <c r="AU6" s="46"/>
      <c r="AV6" s="46"/>
      <c r="AW6" s="124"/>
      <c r="AX6" s="46"/>
      <c r="AY6" s="46"/>
      <c r="AZ6" s="124"/>
      <c r="BA6" s="46"/>
      <c r="BB6" s="46"/>
      <c r="BC6" s="124"/>
      <c r="BD6" s="46"/>
      <c r="BE6" s="46"/>
      <c r="BF6" s="124"/>
      <c r="BG6" s="46"/>
      <c r="BH6" s="46"/>
      <c r="BI6" s="124"/>
      <c r="BJ6" s="46"/>
      <c r="BK6" s="46"/>
      <c r="BL6" s="124"/>
      <c r="BM6" s="46"/>
      <c r="BN6" s="46"/>
    </row>
    <row r="7" spans="1:66" ht="16.2" customHeight="1">
      <c r="A7" s="380">
        <f t="shared" si="6"/>
        <v>6</v>
      </c>
      <c r="B7" s="438"/>
      <c r="C7" s="439" t="str">
        <f>C_BS!C7</f>
        <v>당기손익-공정가치측정금융자산(유동)</v>
      </c>
      <c r="D7" s="428" t="str">
        <f>C_BS!D7</f>
        <v xml:space="preserve">Fair Value Through Profit or Loss </v>
      </c>
      <c r="E7" s="423">
        <v>0</v>
      </c>
      <c r="F7" s="423" t="s">
        <v>113</v>
      </c>
      <c r="G7" s="505">
        <f t="shared" si="0"/>
        <v>0</v>
      </c>
      <c r="H7" s="423">
        <v>4047.4812969999998</v>
      </c>
      <c r="I7" s="505">
        <f t="shared" si="1"/>
        <v>0</v>
      </c>
      <c r="J7" s="423">
        <v>0</v>
      </c>
      <c r="K7" s="505">
        <f t="shared" si="2"/>
        <v>-1</v>
      </c>
      <c r="L7" s="423">
        <v>5125.0814609999998</v>
      </c>
      <c r="M7" s="505">
        <f t="shared" si="3"/>
        <v>0</v>
      </c>
      <c r="N7" s="423">
        <v>20198.635245000001</v>
      </c>
      <c r="O7" s="505">
        <f t="shared" si="4"/>
        <v>2.9411344773159698</v>
      </c>
      <c r="P7" s="423">
        <v>28155.177630999999</v>
      </c>
      <c r="Q7" s="505">
        <f t="shared" si="4"/>
        <v>0.39391485065653487</v>
      </c>
      <c r="R7" s="423">
        <v>0</v>
      </c>
      <c r="S7" s="505">
        <f t="shared" si="5"/>
        <v>-1</v>
      </c>
      <c r="T7" s="423">
        <f>C_BS!CL7</f>
        <v>513.9</v>
      </c>
      <c r="U7" s="505">
        <f>C_BS!CN7</f>
        <v>0</v>
      </c>
      <c r="V7" s="124"/>
      <c r="W7" s="46"/>
      <c r="X7" s="46"/>
      <c r="Y7" s="124"/>
      <c r="Z7" s="46"/>
      <c r="AA7" s="46"/>
      <c r="AB7" s="124"/>
      <c r="AC7" s="46"/>
      <c r="AD7" s="46"/>
      <c r="AE7" s="124"/>
      <c r="AF7" s="46"/>
      <c r="AG7" s="46"/>
      <c r="AH7" s="124"/>
      <c r="AI7" s="46"/>
      <c r="AJ7" s="46"/>
      <c r="AK7" s="124"/>
      <c r="AL7" s="46"/>
      <c r="AM7" s="46"/>
      <c r="AN7" s="124"/>
      <c r="AO7" s="46"/>
      <c r="AP7" s="46"/>
      <c r="AQ7" s="124"/>
      <c r="AR7" s="46"/>
      <c r="AS7" s="46"/>
      <c r="AT7" s="124"/>
      <c r="AU7" s="46"/>
      <c r="AV7" s="46"/>
      <c r="AW7" s="124"/>
      <c r="AX7" s="46"/>
      <c r="AY7" s="46"/>
      <c r="AZ7" s="124"/>
      <c r="BA7" s="46"/>
      <c r="BB7" s="46"/>
      <c r="BC7" s="124"/>
      <c r="BD7" s="46"/>
      <c r="BE7" s="46"/>
      <c r="BF7" s="124"/>
      <c r="BG7" s="46"/>
      <c r="BH7" s="46"/>
      <c r="BI7" s="124"/>
      <c r="BJ7" s="46"/>
      <c r="BK7" s="46"/>
      <c r="BL7" s="124"/>
      <c r="BM7" s="46"/>
      <c r="BN7" s="46"/>
    </row>
    <row r="8" spans="1:66" ht="16.2" customHeight="1">
      <c r="A8" s="380">
        <f t="shared" si="6"/>
        <v>7</v>
      </c>
      <c r="B8" s="438"/>
      <c r="C8" s="439" t="str">
        <f>C_BS!C8</f>
        <v>매출채권</v>
      </c>
      <c r="D8" s="429" t="str">
        <f>C_BS!D8</f>
        <v>Accounts Receivable</v>
      </c>
      <c r="E8" s="423">
        <v>2062.7539999999999</v>
      </c>
      <c r="F8" s="423">
        <v>2132.5619999999999</v>
      </c>
      <c r="G8" s="505">
        <f t="shared" si="0"/>
        <v>3.3842135320062416E-2</v>
      </c>
      <c r="H8" s="423">
        <v>2513.42</v>
      </c>
      <c r="I8" s="505">
        <f t="shared" si="1"/>
        <v>0.17859175958307438</v>
      </c>
      <c r="J8" s="423">
        <v>3029.52</v>
      </c>
      <c r="K8" s="505">
        <f t="shared" si="2"/>
        <v>0.20533774697424212</v>
      </c>
      <c r="L8" s="423">
        <v>1722.3910000000001</v>
      </c>
      <c r="M8" s="505">
        <f t="shared" si="3"/>
        <v>-0.43146406031318485</v>
      </c>
      <c r="N8" s="423">
        <v>6862.3</v>
      </c>
      <c r="O8" s="505">
        <f t="shared" si="4"/>
        <v>2.9841708415801058</v>
      </c>
      <c r="P8" s="423">
        <v>17255.562999999998</v>
      </c>
      <c r="Q8" s="505">
        <f t="shared" si="4"/>
        <v>1.514545123355143</v>
      </c>
      <c r="R8" s="423">
        <v>36937.003925999998</v>
      </c>
      <c r="S8" s="505">
        <f t="shared" si="5"/>
        <v>1.1405852666760281</v>
      </c>
      <c r="T8" s="423">
        <f>C_BS!CL8</f>
        <v>48372.3</v>
      </c>
      <c r="U8" s="505">
        <f>C_BS!CN8</f>
        <v>0.30958916150615789</v>
      </c>
      <c r="V8" s="124"/>
      <c r="W8" s="46"/>
      <c r="X8" s="46"/>
      <c r="Y8" s="124"/>
      <c r="Z8" s="46"/>
      <c r="AA8" s="46"/>
      <c r="AB8" s="124"/>
      <c r="AC8" s="46"/>
      <c r="AD8" s="46"/>
      <c r="AE8" s="124"/>
      <c r="AF8" s="46"/>
      <c r="AG8" s="46"/>
      <c r="AH8" s="124"/>
      <c r="AI8" s="46"/>
      <c r="AJ8" s="46"/>
      <c r="AK8" s="124"/>
      <c r="AL8" s="46"/>
      <c r="AM8" s="46"/>
      <c r="AN8" s="124"/>
      <c r="AO8" s="46"/>
      <c r="AP8" s="46"/>
      <c r="AQ8" s="124"/>
      <c r="AR8" s="46"/>
      <c r="AS8" s="46"/>
      <c r="AT8" s="124"/>
      <c r="AU8" s="46"/>
      <c r="AV8" s="46"/>
      <c r="AW8" s="124"/>
      <c r="AX8" s="46"/>
      <c r="AY8" s="46"/>
      <c r="AZ8" s="124"/>
      <c r="BA8" s="46"/>
      <c r="BB8" s="46"/>
      <c r="BC8" s="124"/>
      <c r="BD8" s="46"/>
      <c r="BE8" s="46"/>
      <c r="BF8" s="124"/>
      <c r="BG8" s="46"/>
      <c r="BH8" s="46"/>
      <c r="BI8" s="124"/>
      <c r="BJ8" s="46"/>
      <c r="BK8" s="46"/>
      <c r="BL8" s="124"/>
      <c r="BM8" s="46"/>
      <c r="BN8" s="46"/>
    </row>
    <row r="9" spans="1:66" ht="16.2" customHeight="1">
      <c r="A9" s="380">
        <f t="shared" si="6"/>
        <v>8</v>
      </c>
      <c r="B9" s="438"/>
      <c r="C9" s="439" t="str">
        <f>C_BS!C9</f>
        <v>기타채권</v>
      </c>
      <c r="D9" s="429" t="str">
        <f>C_BS!D9</f>
        <v xml:space="preserve">Other Receivables </v>
      </c>
      <c r="E9" s="423">
        <v>220.97900000000001</v>
      </c>
      <c r="F9" s="423">
        <v>409.06799999999998</v>
      </c>
      <c r="G9" s="505">
        <f>IFERROR(F9/E9-1,0)</f>
        <v>0.85116232764199284</v>
      </c>
      <c r="H9" s="423">
        <v>614.09299999999996</v>
      </c>
      <c r="I9" s="505">
        <f>IFERROR(H9/F9-1,0)</f>
        <v>0.50120028943843065</v>
      </c>
      <c r="J9" s="423">
        <v>437.346</v>
      </c>
      <c r="K9" s="505">
        <f>IFERROR(J9/H9-1,0)</f>
        <v>-0.28781796893955791</v>
      </c>
      <c r="L9" s="423">
        <v>393.51100000000002</v>
      </c>
      <c r="M9" s="505">
        <f>IFERROR(L9/J9-1,0)</f>
        <v>-0.10022956652170134</v>
      </c>
      <c r="N9" s="423">
        <v>1141.683</v>
      </c>
      <c r="O9" s="505">
        <f>IFERROR(N9/L9-1,0)</f>
        <v>1.9012734078589921</v>
      </c>
      <c r="P9" s="423">
        <v>455.27699999999999</v>
      </c>
      <c r="Q9" s="505">
        <f>IFERROR(P9/N9-1,0)</f>
        <v>-0.6012229314091565</v>
      </c>
      <c r="R9" s="423">
        <v>3586.2694080000001</v>
      </c>
      <c r="S9" s="505">
        <f>IFERROR(R9/P9-1,0)</f>
        <v>6.877115268287219</v>
      </c>
      <c r="T9" s="423">
        <f>C_BS!CL9</f>
        <v>3592.8</v>
      </c>
      <c r="U9" s="505">
        <f>C_BS!CN9</f>
        <v>1.8209987195696442E-3</v>
      </c>
      <c r="V9" s="124"/>
      <c r="W9" s="46"/>
      <c r="X9" s="46"/>
      <c r="Y9" s="124"/>
      <c r="Z9" s="46"/>
      <c r="AA9" s="46"/>
      <c r="AB9" s="124"/>
      <c r="AC9" s="46"/>
      <c r="AD9" s="46"/>
      <c r="AE9" s="124"/>
      <c r="AF9" s="46"/>
      <c r="AG9" s="46"/>
      <c r="AH9" s="124"/>
      <c r="AI9" s="46"/>
      <c r="AJ9" s="46"/>
      <c r="AK9" s="124"/>
      <c r="AL9" s="46"/>
      <c r="AM9" s="46"/>
      <c r="AN9" s="124"/>
      <c r="AO9" s="46"/>
      <c r="AP9" s="46"/>
      <c r="AQ9" s="124"/>
      <c r="AR9" s="46"/>
      <c r="AS9" s="46"/>
      <c r="AT9" s="124"/>
      <c r="AU9" s="46"/>
      <c r="AV9" s="46"/>
      <c r="AW9" s="124"/>
      <c r="AX9" s="46"/>
      <c r="AY9" s="46"/>
      <c r="AZ9" s="124"/>
      <c r="BA9" s="46"/>
      <c r="BB9" s="46"/>
      <c r="BC9" s="124"/>
      <c r="BD9" s="46"/>
      <c r="BE9" s="46"/>
      <c r="BF9" s="124"/>
      <c r="BG9" s="46"/>
      <c r="BH9" s="46"/>
      <c r="BI9" s="124"/>
      <c r="BJ9" s="46"/>
      <c r="BK9" s="46"/>
      <c r="BL9" s="124"/>
      <c r="BM9" s="46"/>
      <c r="BN9" s="46"/>
    </row>
    <row r="10" spans="1:66" ht="16.2" customHeight="1">
      <c r="A10" s="380">
        <f t="shared" si="6"/>
        <v>9</v>
      </c>
      <c r="B10" s="438"/>
      <c r="C10" s="439" t="str">
        <f>C_BS!C10</f>
        <v>재고자산</v>
      </c>
      <c r="D10" s="428" t="str">
        <f>C_BS!D10</f>
        <v>Inventories</v>
      </c>
      <c r="E10" s="423">
        <v>5089.1722410000002</v>
      </c>
      <c r="F10" s="423">
        <v>5906.6032720000003</v>
      </c>
      <c r="G10" s="505">
        <f t="shared" si="0"/>
        <v>0.16062160844439766</v>
      </c>
      <c r="H10" s="423">
        <v>8722.7339310000007</v>
      </c>
      <c r="I10" s="505">
        <f t="shared" si="1"/>
        <v>0.47677667338007068</v>
      </c>
      <c r="J10" s="423">
        <v>9940.2947380000005</v>
      </c>
      <c r="K10" s="505">
        <f t="shared" si="2"/>
        <v>0.13958476970997258</v>
      </c>
      <c r="L10" s="423">
        <v>16465.363683</v>
      </c>
      <c r="M10" s="505">
        <f t="shared" si="3"/>
        <v>0.6564261037508079</v>
      </c>
      <c r="N10" s="423">
        <v>23397.666986</v>
      </c>
      <c r="O10" s="505">
        <f t="shared" si="4"/>
        <v>0.42102339410561562</v>
      </c>
      <c r="P10" s="423">
        <v>19434.327936000002</v>
      </c>
      <c r="Q10" s="505">
        <f t="shared" si="4"/>
        <v>-0.16939035213944464</v>
      </c>
      <c r="R10" s="423">
        <v>29999.806868</v>
      </c>
      <c r="S10" s="505">
        <f t="shared" si="5"/>
        <v>0.54365033701158172</v>
      </c>
      <c r="T10" s="423">
        <f>C_BS!CL10</f>
        <v>30096.5</v>
      </c>
      <c r="U10" s="505">
        <f>C_BS!CN10</f>
        <v>3.2231251496201985E-3</v>
      </c>
      <c r="V10" s="124"/>
      <c r="W10" s="46"/>
      <c r="X10" s="46"/>
      <c r="Y10" s="124"/>
      <c r="Z10" s="46"/>
      <c r="AA10" s="46"/>
      <c r="AB10" s="124"/>
      <c r="AC10" s="46"/>
      <c r="AD10" s="46"/>
      <c r="AE10" s="124"/>
      <c r="AF10" s="46"/>
      <c r="AG10" s="46"/>
      <c r="AH10" s="124"/>
      <c r="AI10" s="46"/>
      <c r="AJ10" s="46"/>
      <c r="AK10" s="124"/>
      <c r="AL10" s="46"/>
      <c r="AM10" s="46"/>
      <c r="AN10" s="124"/>
      <c r="AO10" s="46"/>
      <c r="AP10" s="46"/>
      <c r="AQ10" s="124"/>
      <c r="AR10" s="46"/>
      <c r="AS10" s="46"/>
      <c r="AT10" s="124"/>
      <c r="AU10" s="46"/>
      <c r="AV10" s="46"/>
      <c r="AW10" s="124"/>
      <c r="AX10" s="46"/>
      <c r="AY10" s="46"/>
      <c r="AZ10" s="124"/>
      <c r="BA10" s="46"/>
      <c r="BB10" s="46"/>
      <c r="BC10" s="124"/>
      <c r="BD10" s="46"/>
      <c r="BE10" s="46"/>
      <c r="BF10" s="124"/>
      <c r="BG10" s="46"/>
      <c r="BH10" s="46"/>
      <c r="BI10" s="124"/>
      <c r="BJ10" s="46"/>
      <c r="BK10" s="46"/>
      <c r="BL10" s="124"/>
      <c r="BM10" s="46"/>
      <c r="BN10" s="46"/>
    </row>
    <row r="11" spans="1:66" ht="16.2" customHeight="1">
      <c r="A11" s="380">
        <f t="shared" si="6"/>
        <v>10</v>
      </c>
      <c r="B11" s="438"/>
      <c r="C11" s="439" t="str">
        <f>C_BS!C11</f>
        <v>기타금융자산</v>
      </c>
      <c r="D11" s="428" t="str">
        <f>C_BS!D11</f>
        <v>Other Financial Assets</v>
      </c>
      <c r="E11" s="423">
        <v>17.173566000000001</v>
      </c>
      <c r="F11" s="423">
        <v>82.696438000000001</v>
      </c>
      <c r="G11" s="505">
        <f t="shared" si="0"/>
        <v>3.8153329366772164</v>
      </c>
      <c r="H11" s="423">
        <v>35.646574000000001</v>
      </c>
      <c r="I11" s="505">
        <f t="shared" si="1"/>
        <v>-0.56894668183894448</v>
      </c>
      <c r="J11" s="423">
        <v>1467.640085</v>
      </c>
      <c r="K11" s="505">
        <f t="shared" si="2"/>
        <v>40.171981492527159</v>
      </c>
      <c r="L11" s="423">
        <v>905.86345500000004</v>
      </c>
      <c r="M11" s="505">
        <f t="shared" si="3"/>
        <v>-0.38277547454694927</v>
      </c>
      <c r="N11" s="423">
        <v>2076.639142</v>
      </c>
      <c r="O11" s="505">
        <f t="shared" si="4"/>
        <v>1.2924416815114812</v>
      </c>
      <c r="P11" s="423">
        <v>1432.729934</v>
      </c>
      <c r="Q11" s="505">
        <f t="shared" si="4"/>
        <v>-0.31007274926921324</v>
      </c>
      <c r="R11" s="423"/>
      <c r="S11" s="505">
        <f t="shared" si="5"/>
        <v>-1</v>
      </c>
      <c r="T11" s="423">
        <f>C_BS!CL11</f>
        <v>0</v>
      </c>
      <c r="U11" s="505">
        <f>C_BS!CN11</f>
        <v>0</v>
      </c>
      <c r="V11" s="124"/>
      <c r="W11" s="46"/>
      <c r="X11" s="46"/>
      <c r="Y11" s="124"/>
      <c r="Z11" s="46"/>
      <c r="AA11" s="46"/>
      <c r="AB11" s="124"/>
      <c r="AC11" s="46"/>
      <c r="AD11" s="46"/>
      <c r="AE11" s="124"/>
      <c r="AF11" s="46"/>
      <c r="AG11" s="46"/>
      <c r="AH11" s="124"/>
      <c r="AI11" s="46"/>
      <c r="AJ11" s="46"/>
      <c r="AK11" s="124"/>
      <c r="AL11" s="46"/>
      <c r="AM11" s="46"/>
      <c r="AN11" s="124"/>
      <c r="AO11" s="46"/>
      <c r="AP11" s="46"/>
      <c r="AQ11" s="124"/>
      <c r="AR11" s="46"/>
      <c r="AS11" s="46"/>
      <c r="AT11" s="124"/>
      <c r="AU11" s="46"/>
      <c r="AV11" s="46"/>
      <c r="AW11" s="124"/>
      <c r="AX11" s="46"/>
      <c r="AY11" s="46"/>
      <c r="AZ11" s="124"/>
      <c r="BA11" s="46"/>
      <c r="BB11" s="46"/>
      <c r="BC11" s="124"/>
      <c r="BD11" s="46"/>
      <c r="BE11" s="46"/>
      <c r="BF11" s="124"/>
      <c r="BG11" s="46"/>
      <c r="BH11" s="46"/>
      <c r="BI11" s="124"/>
      <c r="BJ11" s="46"/>
      <c r="BK11" s="46"/>
      <c r="BL11" s="124"/>
      <c r="BM11" s="46"/>
      <c r="BN11" s="46"/>
    </row>
    <row r="12" spans="1:66" ht="16.2" customHeight="1">
      <c r="A12" s="380">
        <f t="shared" si="6"/>
        <v>11</v>
      </c>
      <c r="B12" s="438"/>
      <c r="C12" s="439" t="str">
        <f>C_BS!C12</f>
        <v>기타유동자산</v>
      </c>
      <c r="D12" s="428" t="str">
        <f>C_BS!D12</f>
        <v>Other Current Assets</v>
      </c>
      <c r="E12" s="423">
        <v>825.54397900000004</v>
      </c>
      <c r="F12" s="423">
        <v>1589.9533960000001</v>
      </c>
      <c r="G12" s="505">
        <f t="shared" si="0"/>
        <v>0.92594632926273213</v>
      </c>
      <c r="H12" s="423">
        <v>737.09434799999997</v>
      </c>
      <c r="I12" s="505">
        <f t="shared" si="1"/>
        <v>-0.53640506076820893</v>
      </c>
      <c r="J12" s="423">
        <v>511.85772800000001</v>
      </c>
      <c r="K12" s="505">
        <f t="shared" si="2"/>
        <v>-0.30557366314250989</v>
      </c>
      <c r="L12" s="423">
        <v>5715.1206309999998</v>
      </c>
      <c r="M12" s="505">
        <f t="shared" si="3"/>
        <v>10.165447581168491</v>
      </c>
      <c r="N12" s="423">
        <v>2705.3074799999999</v>
      </c>
      <c r="O12" s="505">
        <f t="shared" si="4"/>
        <v>-0.52664035377908713</v>
      </c>
      <c r="P12" s="423">
        <v>10277.253769999999</v>
      </c>
      <c r="Q12" s="505">
        <f t="shared" si="4"/>
        <v>2.7989226163674377</v>
      </c>
      <c r="R12" s="423">
        <v>5608.5786209999997</v>
      </c>
      <c r="S12" s="505">
        <f t="shared" si="5"/>
        <v>-0.45427263483832414</v>
      </c>
      <c r="T12" s="423">
        <f>C_BS!CL12</f>
        <v>6124.3</v>
      </c>
      <c r="U12" s="505">
        <f>C_BS!CN12</f>
        <v>9.1952242065218348E-2</v>
      </c>
      <c r="V12" s="124"/>
      <c r="W12" s="46"/>
      <c r="X12" s="46"/>
      <c r="Y12" s="124"/>
      <c r="Z12" s="46"/>
      <c r="AA12" s="46"/>
      <c r="AB12" s="124"/>
      <c r="AC12" s="46"/>
      <c r="AD12" s="46"/>
      <c r="AE12" s="124"/>
      <c r="AF12" s="46"/>
      <c r="AG12" s="46"/>
      <c r="AH12" s="124"/>
      <c r="AI12" s="46"/>
      <c r="AJ12" s="46"/>
      <c r="AK12" s="124"/>
      <c r="AL12" s="46"/>
      <c r="AM12" s="46"/>
      <c r="AN12" s="124"/>
      <c r="AO12" s="46"/>
      <c r="AP12" s="46"/>
      <c r="AQ12" s="124"/>
      <c r="AR12" s="46"/>
      <c r="AS12" s="46"/>
      <c r="AT12" s="124"/>
      <c r="AU12" s="46"/>
      <c r="AV12" s="46"/>
      <c r="AW12" s="124"/>
      <c r="AX12" s="46"/>
      <c r="AY12" s="46"/>
      <c r="AZ12" s="124"/>
      <c r="BA12" s="46"/>
      <c r="BB12" s="46"/>
      <c r="BC12" s="124"/>
      <c r="BD12" s="46"/>
      <c r="BE12" s="46"/>
      <c r="BF12" s="124"/>
      <c r="BG12" s="46"/>
      <c r="BH12" s="46"/>
      <c r="BI12" s="124"/>
      <c r="BJ12" s="46"/>
      <c r="BK12" s="46"/>
      <c r="BL12" s="124"/>
      <c r="BM12" s="46"/>
      <c r="BN12" s="46"/>
    </row>
    <row r="13" spans="1:66" ht="16.2" customHeight="1">
      <c r="A13" s="380">
        <f t="shared" si="6"/>
        <v>12</v>
      </c>
      <c r="B13" s="438"/>
      <c r="C13" s="439" t="str">
        <f>C_BS!C13</f>
        <v>당기법인세자산</v>
      </c>
      <c r="D13" s="428" t="str">
        <f>C_BS!D13</f>
        <v xml:space="preserve">Current Income Tax Assets </v>
      </c>
      <c r="E13" s="423">
        <v>43.581217000000002</v>
      </c>
      <c r="F13" s="423">
        <v>4.4176130000000002</v>
      </c>
      <c r="G13" s="505">
        <f t="shared" si="0"/>
        <v>-0.8986349325673948</v>
      </c>
      <c r="H13" s="423">
        <v>0.16672300000000001</v>
      </c>
      <c r="I13" s="505">
        <f t="shared" si="1"/>
        <v>-0.96225948266631778</v>
      </c>
      <c r="J13" s="423">
        <v>1.527552</v>
      </c>
      <c r="K13" s="505">
        <f t="shared" si="2"/>
        <v>8.1622151712721092</v>
      </c>
      <c r="L13" s="423">
        <v>24.435525999999999</v>
      </c>
      <c r="M13" s="505">
        <f t="shared" si="3"/>
        <v>14.99652646849338</v>
      </c>
      <c r="N13" s="423">
        <v>24.527324</v>
      </c>
      <c r="O13" s="505">
        <f t="shared" si="4"/>
        <v>3.7567433580107945E-3</v>
      </c>
      <c r="P13" s="423">
        <v>25.526389000000002</v>
      </c>
      <c r="Q13" s="505">
        <f t="shared" si="4"/>
        <v>4.0732735458625768E-2</v>
      </c>
      <c r="R13" s="423">
        <v>28.732804000000002</v>
      </c>
      <c r="S13" s="505">
        <f t="shared" si="5"/>
        <v>0.12561177376087151</v>
      </c>
      <c r="T13" s="423">
        <f>C_BS!CL13</f>
        <v>25.1</v>
      </c>
      <c r="U13" s="505">
        <f>C_BS!CN13</f>
        <v>-0.1264340229376848</v>
      </c>
      <c r="V13" s="124"/>
      <c r="W13" s="46"/>
      <c r="X13" s="46"/>
      <c r="Y13" s="124"/>
      <c r="Z13" s="46"/>
      <c r="AA13" s="46"/>
      <c r="AB13" s="124"/>
      <c r="AC13" s="46"/>
      <c r="AD13" s="46"/>
      <c r="AE13" s="124"/>
      <c r="AF13" s="46"/>
      <c r="AG13" s="46"/>
      <c r="AH13" s="124"/>
      <c r="AI13" s="46"/>
      <c r="AJ13" s="46"/>
      <c r="AK13" s="124"/>
      <c r="AL13" s="46"/>
      <c r="AM13" s="46"/>
      <c r="AN13" s="124"/>
      <c r="AO13" s="46"/>
      <c r="AP13" s="46"/>
      <c r="AQ13" s="124"/>
      <c r="AR13" s="46"/>
      <c r="AS13" s="46"/>
      <c r="AT13" s="124"/>
      <c r="AU13" s="46"/>
      <c r="AV13" s="46"/>
      <c r="AW13" s="124"/>
      <c r="AX13" s="46"/>
      <c r="AY13" s="46"/>
      <c r="AZ13" s="124"/>
      <c r="BA13" s="46"/>
      <c r="BB13" s="46"/>
      <c r="BC13" s="124"/>
      <c r="BD13" s="46"/>
      <c r="BE13" s="46"/>
      <c r="BF13" s="124"/>
      <c r="BG13" s="46"/>
      <c r="BH13" s="46"/>
      <c r="BI13" s="124"/>
      <c r="BJ13" s="46"/>
      <c r="BK13" s="46"/>
      <c r="BL13" s="124"/>
      <c r="BM13" s="46"/>
      <c r="BN13" s="46"/>
    </row>
    <row r="14" spans="1:66" s="14" customFormat="1" ht="16.2" customHeight="1">
      <c r="A14" s="380">
        <f t="shared" si="6"/>
        <v>13</v>
      </c>
      <c r="B14" s="436" t="str">
        <f>C_BS!B15</f>
        <v>　비유동자산</v>
      </c>
      <c r="C14" s="437"/>
      <c r="D14" s="427" t="str">
        <f>C_BS!D15</f>
        <v>Non-current assets</v>
      </c>
      <c r="E14" s="422">
        <f>SUM(E15:E24)</f>
        <v>35478.072464000004</v>
      </c>
      <c r="F14" s="422">
        <v>49080.730539000004</v>
      </c>
      <c r="G14" s="504">
        <f t="shared" si="0"/>
        <v>0.38341029064650467</v>
      </c>
      <c r="H14" s="422">
        <v>56010.299410000007</v>
      </c>
      <c r="I14" s="504">
        <f t="shared" si="1"/>
        <v>0.14118715827780326</v>
      </c>
      <c r="J14" s="422">
        <v>54513.727743999996</v>
      </c>
      <c r="K14" s="504">
        <f t="shared" si="2"/>
        <v>-2.6719579823078266E-2</v>
      </c>
      <c r="L14" s="422">
        <v>143239.18471</v>
      </c>
      <c r="M14" s="504">
        <f t="shared" si="3"/>
        <v>1.6275800727233425</v>
      </c>
      <c r="N14" s="422">
        <v>183622.41757199998</v>
      </c>
      <c r="O14" s="504">
        <f t="shared" si="4"/>
        <v>0.28192867017331391</v>
      </c>
      <c r="P14" s="422">
        <v>189705.53868400003</v>
      </c>
      <c r="Q14" s="504">
        <f t="shared" si="4"/>
        <v>3.3128422947676262E-2</v>
      </c>
      <c r="R14" s="422">
        <v>374176.98560800002</v>
      </c>
      <c r="S14" s="504">
        <f t="shared" si="5"/>
        <v>0.97240938880166983</v>
      </c>
      <c r="T14" s="422">
        <f>C_BS!CL15</f>
        <v>408877.50000000006</v>
      </c>
      <c r="U14" s="504">
        <f>C_BS!CN15</f>
        <v>9.2738238124440375E-2</v>
      </c>
      <c r="V14" s="123"/>
      <c r="W14" s="46"/>
      <c r="X14" s="46"/>
      <c r="Y14" s="123"/>
      <c r="Z14" s="46"/>
      <c r="AA14" s="46"/>
      <c r="AB14" s="123"/>
      <c r="AC14" s="46"/>
      <c r="AD14" s="46"/>
      <c r="AE14" s="123"/>
      <c r="AF14" s="46"/>
      <c r="AG14" s="46"/>
      <c r="AH14" s="123"/>
      <c r="AI14" s="46"/>
      <c r="AJ14" s="46"/>
      <c r="AK14" s="123"/>
      <c r="AL14" s="46"/>
      <c r="AM14" s="46"/>
      <c r="AN14" s="123"/>
      <c r="AO14" s="46"/>
      <c r="AP14" s="46"/>
      <c r="AQ14" s="123"/>
      <c r="AR14" s="46"/>
      <c r="AS14" s="46"/>
      <c r="AT14" s="123"/>
      <c r="AU14" s="46"/>
      <c r="AV14" s="46"/>
      <c r="AW14" s="123"/>
      <c r="AX14" s="46"/>
      <c r="AY14" s="46"/>
      <c r="AZ14" s="123"/>
      <c r="BA14" s="46"/>
      <c r="BB14" s="46"/>
      <c r="BC14" s="123"/>
      <c r="BD14" s="46"/>
      <c r="BE14" s="46"/>
      <c r="BF14" s="123"/>
      <c r="BG14" s="46"/>
      <c r="BH14" s="46"/>
      <c r="BI14" s="123"/>
      <c r="BJ14" s="46"/>
      <c r="BK14" s="46"/>
      <c r="BL14" s="123"/>
      <c r="BM14" s="46"/>
      <c r="BN14" s="46"/>
    </row>
    <row r="15" spans="1:66" ht="16.2" customHeight="1">
      <c r="A15" s="380">
        <f t="shared" si="6"/>
        <v>14</v>
      </c>
      <c r="B15" s="438"/>
      <c r="C15" s="439" t="str">
        <f>C_BS!C16</f>
        <v>장기금융상품</v>
      </c>
      <c r="D15" s="428" t="str">
        <f>C_BS!D16</f>
        <v>Non-current Financial Assets</v>
      </c>
      <c r="E15" s="423">
        <v>137.96753799999999</v>
      </c>
      <c r="F15" s="423">
        <v>419.30556799999999</v>
      </c>
      <c r="G15" s="505">
        <f t="shared" si="0"/>
        <v>2.0391610525078736</v>
      </c>
      <c r="H15" s="423">
        <v>432.66153600000001</v>
      </c>
      <c r="I15" s="505">
        <f t="shared" si="1"/>
        <v>3.1852589183838376E-2</v>
      </c>
      <c r="J15" s="423">
        <v>275.74344100000002</v>
      </c>
      <c r="K15" s="505">
        <f t="shared" si="2"/>
        <v>-0.36268094559716069</v>
      </c>
      <c r="L15" s="423">
        <v>297.20755800000001</v>
      </c>
      <c r="M15" s="505">
        <f t="shared" si="3"/>
        <v>7.7840897764092087E-2</v>
      </c>
      <c r="N15" s="423">
        <v>331.655306</v>
      </c>
      <c r="O15" s="505">
        <f t="shared" si="4"/>
        <v>0.11590468368910045</v>
      </c>
      <c r="P15" s="423">
        <v>107.422</v>
      </c>
      <c r="Q15" s="505">
        <f t="shared" si="4"/>
        <v>-0.67610347835050166</v>
      </c>
      <c r="R15" s="423">
        <v>107.422</v>
      </c>
      <c r="S15" s="505">
        <f t="shared" si="5"/>
        <v>0</v>
      </c>
      <c r="T15" s="423">
        <f>C_BS!CL16</f>
        <v>107.4</v>
      </c>
      <c r="U15" s="505">
        <f>C_BS!CN16</f>
        <v>-2.0479976168752412E-4</v>
      </c>
      <c r="V15" s="124"/>
      <c r="W15" s="46"/>
      <c r="X15" s="46"/>
      <c r="Y15" s="124"/>
      <c r="Z15" s="46"/>
      <c r="AA15" s="46"/>
      <c r="AB15" s="124"/>
      <c r="AC15" s="46"/>
      <c r="AD15" s="46"/>
      <c r="AE15" s="124"/>
      <c r="AF15" s="46"/>
      <c r="AG15" s="46"/>
      <c r="AH15" s="124"/>
      <c r="AI15" s="46"/>
      <c r="AJ15" s="46"/>
      <c r="AK15" s="124"/>
      <c r="AL15" s="46"/>
      <c r="AM15" s="46"/>
      <c r="AN15" s="124"/>
      <c r="AO15" s="46"/>
      <c r="AP15" s="46"/>
      <c r="AQ15" s="124"/>
      <c r="AR15" s="46"/>
      <c r="AS15" s="46"/>
      <c r="AT15" s="124"/>
      <c r="AU15" s="46"/>
      <c r="AV15" s="46"/>
      <c r="AW15" s="124"/>
      <c r="AX15" s="46"/>
      <c r="AY15" s="46"/>
      <c r="AZ15" s="124"/>
      <c r="BA15" s="46"/>
      <c r="BB15" s="46"/>
      <c r="BC15" s="124"/>
      <c r="BD15" s="46"/>
      <c r="BE15" s="46"/>
      <c r="BF15" s="124"/>
      <c r="BG15" s="46"/>
      <c r="BH15" s="46"/>
      <c r="BI15" s="124"/>
      <c r="BJ15" s="46"/>
      <c r="BK15" s="46"/>
      <c r="BL15" s="124"/>
      <c r="BM15" s="46"/>
      <c r="BN15" s="46"/>
    </row>
    <row r="16" spans="1:66" ht="16.2" customHeight="1">
      <c r="A16" s="380">
        <f t="shared" si="6"/>
        <v>15</v>
      </c>
      <c r="B16" s="438"/>
      <c r="C16" s="439" t="str">
        <f>C_BS!C17</f>
        <v>관계기업투자</v>
      </c>
      <c r="D16" s="428" t="str">
        <f>C_BS!D17</f>
        <v>Investments in Affiliates</v>
      </c>
      <c r="E16" s="423"/>
      <c r="F16" s="423">
        <v>0</v>
      </c>
      <c r="G16" s="505"/>
      <c r="H16" s="423">
        <v>0</v>
      </c>
      <c r="I16" s="505"/>
      <c r="J16" s="423">
        <v>0</v>
      </c>
      <c r="K16" s="505"/>
      <c r="L16" s="423">
        <v>0</v>
      </c>
      <c r="M16" s="505">
        <f t="shared" si="3"/>
        <v>0</v>
      </c>
      <c r="N16" s="423">
        <v>0</v>
      </c>
      <c r="O16" s="505">
        <f t="shared" si="4"/>
        <v>0</v>
      </c>
      <c r="P16" s="423">
        <v>0</v>
      </c>
      <c r="Q16" s="505">
        <f t="shared" si="4"/>
        <v>0</v>
      </c>
      <c r="R16" s="423">
        <v>0</v>
      </c>
      <c r="S16" s="505">
        <f t="shared" si="5"/>
        <v>0</v>
      </c>
      <c r="T16" s="423">
        <f>C_BS!CL17</f>
        <v>0</v>
      </c>
      <c r="U16" s="505">
        <f>C_BS!CN17</f>
        <v>0</v>
      </c>
      <c r="V16" s="124"/>
      <c r="W16" s="46"/>
      <c r="X16" s="46"/>
      <c r="Y16" s="124"/>
      <c r="Z16" s="46"/>
      <c r="AA16" s="46"/>
      <c r="AB16" s="124"/>
      <c r="AC16" s="46"/>
      <c r="AD16" s="46"/>
      <c r="AE16" s="124"/>
      <c r="AF16" s="46"/>
      <c r="AG16" s="46"/>
      <c r="AH16" s="124"/>
      <c r="AI16" s="46"/>
      <c r="AJ16" s="46"/>
      <c r="AK16" s="124"/>
      <c r="AL16" s="46"/>
      <c r="AM16" s="46"/>
      <c r="AN16" s="124"/>
      <c r="AO16" s="46"/>
      <c r="AP16" s="46"/>
      <c r="AQ16" s="124"/>
      <c r="AR16" s="46"/>
      <c r="AS16" s="46"/>
      <c r="AT16" s="124"/>
      <c r="AU16" s="46"/>
      <c r="AV16" s="46"/>
      <c r="AW16" s="124"/>
      <c r="AX16" s="46"/>
      <c r="AY16" s="46"/>
      <c r="AZ16" s="124"/>
      <c r="BA16" s="46"/>
      <c r="BB16" s="46"/>
      <c r="BC16" s="124"/>
      <c r="BD16" s="46"/>
      <c r="BE16" s="46"/>
      <c r="BF16" s="124"/>
      <c r="BG16" s="46"/>
      <c r="BH16" s="46"/>
      <c r="BI16" s="124"/>
      <c r="BJ16" s="46"/>
      <c r="BK16" s="46"/>
      <c r="BL16" s="124"/>
      <c r="BM16" s="46"/>
      <c r="BN16" s="46"/>
    </row>
    <row r="17" spans="1:66" ht="16.2" customHeight="1">
      <c r="A17" s="380">
        <f t="shared" si="6"/>
        <v>16</v>
      </c>
      <c r="B17" s="438"/>
      <c r="C17" s="439" t="str">
        <f>C_BS!C18</f>
        <v>파생상품자산</v>
      </c>
      <c r="D17" s="428" t="str">
        <f>C_BS!D18</f>
        <v>Non-Current Derivative Assets</v>
      </c>
      <c r="E17" s="423"/>
      <c r="F17" s="423">
        <v>0</v>
      </c>
      <c r="G17" s="505"/>
      <c r="H17" s="423">
        <v>0</v>
      </c>
      <c r="I17" s="505"/>
      <c r="J17" s="423">
        <v>0</v>
      </c>
      <c r="K17" s="505"/>
      <c r="L17" s="423">
        <v>0</v>
      </c>
      <c r="M17" s="505">
        <f t="shared" si="3"/>
        <v>0</v>
      </c>
      <c r="N17" s="423">
        <v>0</v>
      </c>
      <c r="O17" s="505">
        <f t="shared" si="4"/>
        <v>0</v>
      </c>
      <c r="P17" s="423">
        <v>0</v>
      </c>
      <c r="Q17" s="505">
        <f t="shared" si="4"/>
        <v>0</v>
      </c>
      <c r="R17" s="423">
        <v>0</v>
      </c>
      <c r="S17" s="505">
        <f t="shared" si="5"/>
        <v>0</v>
      </c>
      <c r="T17" s="423">
        <f>C_BS!CL18</f>
        <v>0</v>
      </c>
      <c r="U17" s="505">
        <f>C_BS!CN18</f>
        <v>0</v>
      </c>
      <c r="V17" s="124"/>
      <c r="W17" s="46"/>
      <c r="X17" s="46"/>
      <c r="Y17" s="124"/>
      <c r="Z17" s="46"/>
      <c r="AA17" s="46"/>
      <c r="AB17" s="124"/>
      <c r="AC17" s="46"/>
      <c r="AD17" s="46"/>
      <c r="AE17" s="124"/>
      <c r="AF17" s="46"/>
      <c r="AG17" s="46"/>
      <c r="AH17" s="124"/>
      <c r="AI17" s="46"/>
      <c r="AJ17" s="46"/>
      <c r="AK17" s="124"/>
      <c r="AL17" s="46"/>
      <c r="AM17" s="46"/>
      <c r="AN17" s="124"/>
      <c r="AO17" s="46"/>
      <c r="AP17" s="46"/>
      <c r="AQ17" s="124"/>
      <c r="AR17" s="46"/>
      <c r="AS17" s="46"/>
      <c r="AT17" s="124"/>
      <c r="AU17" s="46"/>
      <c r="AV17" s="46"/>
      <c r="AW17" s="124"/>
      <c r="AX17" s="46"/>
      <c r="AY17" s="46"/>
      <c r="AZ17" s="124"/>
      <c r="BA17" s="46"/>
      <c r="BB17" s="46"/>
      <c r="BC17" s="124"/>
      <c r="BD17" s="46"/>
      <c r="BE17" s="46"/>
      <c r="BF17" s="124"/>
      <c r="BG17" s="46"/>
      <c r="BH17" s="46"/>
      <c r="BI17" s="124"/>
      <c r="BJ17" s="46"/>
      <c r="BK17" s="46"/>
      <c r="BL17" s="124"/>
      <c r="BM17" s="46"/>
      <c r="BN17" s="46"/>
    </row>
    <row r="18" spans="1:66" ht="16.2" customHeight="1">
      <c r="A18" s="380">
        <f t="shared" si="6"/>
        <v>17</v>
      </c>
      <c r="B18" s="438"/>
      <c r="C18" s="439" t="str">
        <f>C_BS!C19</f>
        <v>당기손익-공정가치측정금융자산(비유동)</v>
      </c>
      <c r="D18" s="428" t="str">
        <f>C_BS!D19</f>
        <v xml:space="preserve">Fair Value Through Profit or Loss </v>
      </c>
      <c r="E18" s="423" t="s">
        <v>113</v>
      </c>
      <c r="F18" s="423">
        <v>0</v>
      </c>
      <c r="G18" s="505">
        <f t="shared" ref="G18:G32" si="7">IFERROR(F18/E18-1,0)</f>
        <v>0</v>
      </c>
      <c r="H18" s="423">
        <v>0</v>
      </c>
      <c r="I18" s="505">
        <f t="shared" si="1"/>
        <v>0</v>
      </c>
      <c r="J18" s="423">
        <v>0</v>
      </c>
      <c r="K18" s="505">
        <f t="shared" si="2"/>
        <v>0</v>
      </c>
      <c r="L18" s="423">
        <v>0</v>
      </c>
      <c r="M18" s="505">
        <f t="shared" si="3"/>
        <v>0</v>
      </c>
      <c r="N18" s="423">
        <v>0</v>
      </c>
      <c r="O18" s="505">
        <f t="shared" si="4"/>
        <v>0</v>
      </c>
      <c r="P18" s="423">
        <v>2999.9585670000001</v>
      </c>
      <c r="Q18" s="505">
        <f t="shared" si="4"/>
        <v>0</v>
      </c>
      <c r="R18" s="423">
        <v>9124.3066610000005</v>
      </c>
      <c r="S18" s="505">
        <f t="shared" si="5"/>
        <v>2.0414775595132411</v>
      </c>
      <c r="T18" s="423">
        <f>C_BS!CL19</f>
        <v>10369.799999999999</v>
      </c>
      <c r="U18" s="505">
        <f>C_BS!CN19</f>
        <v>0.13650279251612707</v>
      </c>
      <c r="V18" s="124"/>
      <c r="W18" s="46"/>
      <c r="X18" s="46"/>
      <c r="Y18" s="124"/>
      <c r="Z18" s="46"/>
      <c r="AA18" s="46"/>
      <c r="AB18" s="124"/>
      <c r="AC18" s="46"/>
      <c r="AD18" s="46"/>
      <c r="AE18" s="124"/>
      <c r="AF18" s="46"/>
      <c r="AG18" s="46"/>
      <c r="AH18" s="124"/>
      <c r="AI18" s="46"/>
      <c r="AJ18" s="46"/>
      <c r="AK18" s="124"/>
      <c r="AL18" s="46"/>
      <c r="AM18" s="46"/>
      <c r="AN18" s="124"/>
      <c r="AO18" s="46"/>
      <c r="AP18" s="46"/>
      <c r="AQ18" s="124"/>
      <c r="AR18" s="46"/>
      <c r="AS18" s="46"/>
      <c r="AT18" s="124"/>
      <c r="AU18" s="46"/>
      <c r="AV18" s="46"/>
      <c r="AW18" s="124"/>
      <c r="AX18" s="46"/>
      <c r="AY18" s="46"/>
      <c r="AZ18" s="124"/>
      <c r="BA18" s="46"/>
      <c r="BB18" s="46"/>
      <c r="BC18" s="124"/>
      <c r="BD18" s="46"/>
      <c r="BE18" s="46"/>
      <c r="BF18" s="124"/>
      <c r="BG18" s="46"/>
      <c r="BH18" s="46"/>
      <c r="BI18" s="124"/>
      <c r="BJ18" s="46"/>
      <c r="BK18" s="46"/>
      <c r="BL18" s="124"/>
      <c r="BM18" s="46"/>
      <c r="BN18" s="46"/>
    </row>
    <row r="19" spans="1:66" ht="16.2" customHeight="1">
      <c r="A19" s="380">
        <f t="shared" si="6"/>
        <v>18</v>
      </c>
      <c r="B19" s="438"/>
      <c r="C19" s="439" t="str">
        <f>C_BS!C20</f>
        <v>유형자산</v>
      </c>
      <c r="D19" s="428" t="str">
        <f>C_BS!D20</f>
        <v>Property, Plant and Equipment</v>
      </c>
      <c r="E19" s="423">
        <v>32042.413994999999</v>
      </c>
      <c r="F19" s="423">
        <v>46055.749744000001</v>
      </c>
      <c r="G19" s="505">
        <f t="shared" si="7"/>
        <v>0.43733707925959275</v>
      </c>
      <c r="H19" s="423">
        <v>51077.691415000001</v>
      </c>
      <c r="I19" s="505">
        <f t="shared" si="1"/>
        <v>0.10904049329159471</v>
      </c>
      <c r="J19" s="423">
        <v>50098.618892999999</v>
      </c>
      <c r="K19" s="505">
        <f t="shared" si="2"/>
        <v>-1.9168300188925125E-2</v>
      </c>
      <c r="L19" s="423">
        <v>80704.632922999997</v>
      </c>
      <c r="M19" s="505">
        <f t="shared" si="3"/>
        <v>0.61091532473914967</v>
      </c>
      <c r="N19" s="423">
        <v>104241.59458999999</v>
      </c>
      <c r="O19" s="505">
        <f t="shared" si="4"/>
        <v>0.29164325286574977</v>
      </c>
      <c r="P19" s="423">
        <v>138988.714882</v>
      </c>
      <c r="Q19" s="505">
        <f t="shared" si="4"/>
        <v>0.33333258598610627</v>
      </c>
      <c r="R19" s="423">
        <v>193172.861473</v>
      </c>
      <c r="S19" s="505">
        <f t="shared" si="5"/>
        <v>0.38984565500157187</v>
      </c>
      <c r="T19" s="423">
        <f>C_BS!CL20</f>
        <v>199716.1</v>
      </c>
      <c r="U19" s="505">
        <f>C_BS!CN20</f>
        <v>3.3872452253933982E-2</v>
      </c>
      <c r="V19" s="124"/>
      <c r="W19" s="46"/>
      <c r="X19" s="46"/>
      <c r="Y19" s="124"/>
      <c r="Z19" s="46"/>
      <c r="AA19" s="46"/>
      <c r="AB19" s="124"/>
      <c r="AC19" s="46"/>
      <c r="AD19" s="46"/>
      <c r="AE19" s="124"/>
      <c r="AF19" s="46"/>
      <c r="AG19" s="46"/>
      <c r="AH19" s="124"/>
      <c r="AI19" s="46"/>
      <c r="AJ19" s="46"/>
      <c r="AK19" s="124"/>
      <c r="AL19" s="46"/>
      <c r="AM19" s="46"/>
      <c r="AN19" s="124"/>
      <c r="AO19" s="46"/>
      <c r="AP19" s="46"/>
      <c r="AQ19" s="124"/>
      <c r="AR19" s="46"/>
      <c r="AS19" s="46"/>
      <c r="AT19" s="124"/>
      <c r="AU19" s="46"/>
      <c r="AV19" s="46"/>
      <c r="AW19" s="124"/>
      <c r="AX19" s="46"/>
      <c r="AY19" s="46"/>
      <c r="AZ19" s="124"/>
      <c r="BA19" s="46"/>
      <c r="BB19" s="46"/>
      <c r="BC19" s="124"/>
      <c r="BD19" s="46"/>
      <c r="BE19" s="46"/>
      <c r="BF19" s="124"/>
      <c r="BG19" s="46"/>
      <c r="BH19" s="46"/>
      <c r="BI19" s="124"/>
      <c r="BJ19" s="46"/>
      <c r="BK19" s="46"/>
      <c r="BL19" s="124"/>
      <c r="BM19" s="46"/>
      <c r="BN19" s="46"/>
    </row>
    <row r="20" spans="1:66" ht="16.2" customHeight="1">
      <c r="A20" s="380">
        <f t="shared" si="6"/>
        <v>19</v>
      </c>
      <c r="B20" s="438"/>
      <c r="C20" s="439" t="str">
        <f>C_BS!C21</f>
        <v>무형자산</v>
      </c>
      <c r="D20" s="428" t="str">
        <f>C_BS!D21</f>
        <v>Intangible Assets</v>
      </c>
      <c r="E20" s="423">
        <v>97.373261999999997</v>
      </c>
      <c r="F20" s="423">
        <v>152.95273399999999</v>
      </c>
      <c r="G20" s="505">
        <f t="shared" si="7"/>
        <v>0.57078782058261535</v>
      </c>
      <c r="H20" s="423">
        <v>710.67403300000001</v>
      </c>
      <c r="I20" s="505">
        <f t="shared" si="1"/>
        <v>3.6463637125963375</v>
      </c>
      <c r="J20" s="423">
        <v>821.86246900000003</v>
      </c>
      <c r="K20" s="505">
        <f t="shared" si="2"/>
        <v>0.15645490173692611</v>
      </c>
      <c r="L20" s="423">
        <v>1123.998104</v>
      </c>
      <c r="M20" s="505">
        <f t="shared" si="3"/>
        <v>0.3676231077538108</v>
      </c>
      <c r="N20" s="423">
        <v>1478.3695740000001</v>
      </c>
      <c r="O20" s="505">
        <f t="shared" si="4"/>
        <v>0.31527764036157135</v>
      </c>
      <c r="P20" s="423">
        <v>2822.2968580000002</v>
      </c>
      <c r="Q20" s="505">
        <f t="shared" si="4"/>
        <v>0.90906043227320921</v>
      </c>
      <c r="R20" s="423">
        <v>140947.98448300001</v>
      </c>
      <c r="S20" s="505">
        <f t="shared" si="5"/>
        <v>48.940878502370495</v>
      </c>
      <c r="T20" s="423">
        <f>C_BS!CL21</f>
        <v>139635.1</v>
      </c>
      <c r="U20" s="505">
        <f>C_BS!CN21</f>
        <v>-9.3146736919700324E-3</v>
      </c>
      <c r="V20" s="124"/>
      <c r="W20" s="46"/>
      <c r="X20" s="46"/>
      <c r="Y20" s="124"/>
      <c r="Z20" s="46"/>
      <c r="AA20" s="46"/>
      <c r="AB20" s="124"/>
      <c r="AC20" s="46"/>
      <c r="AD20" s="46"/>
      <c r="AE20" s="124"/>
      <c r="AF20" s="46"/>
      <c r="AG20" s="46"/>
      <c r="AH20" s="124"/>
      <c r="AI20" s="46"/>
      <c r="AJ20" s="46"/>
      <c r="AK20" s="124"/>
      <c r="AL20" s="46"/>
      <c r="AM20" s="46"/>
      <c r="AN20" s="124"/>
      <c r="AO20" s="46"/>
      <c r="AP20" s="46"/>
      <c r="AQ20" s="124"/>
      <c r="AR20" s="46"/>
      <c r="AS20" s="46"/>
      <c r="AT20" s="124"/>
      <c r="AU20" s="46"/>
      <c r="AV20" s="46"/>
      <c r="AW20" s="124"/>
      <c r="AX20" s="46"/>
      <c r="AY20" s="46"/>
      <c r="AZ20" s="124"/>
      <c r="BA20" s="46"/>
      <c r="BB20" s="46"/>
      <c r="BC20" s="124"/>
      <c r="BD20" s="46"/>
      <c r="BE20" s="46"/>
      <c r="BF20" s="124"/>
      <c r="BG20" s="46"/>
      <c r="BH20" s="46"/>
      <c r="BI20" s="124"/>
      <c r="BJ20" s="46"/>
      <c r="BK20" s="46"/>
      <c r="BL20" s="124"/>
      <c r="BM20" s="46"/>
      <c r="BN20" s="46"/>
    </row>
    <row r="21" spans="1:66" ht="16.2" customHeight="1">
      <c r="A21" s="380">
        <f t="shared" si="6"/>
        <v>20</v>
      </c>
      <c r="B21" s="438"/>
      <c r="C21" s="439" t="str">
        <f>C_BS!C22</f>
        <v>투자부동산</v>
      </c>
      <c r="D21" s="428" t="str">
        <f>C_BS!D22</f>
        <v>Investment Property</v>
      </c>
      <c r="E21" s="423">
        <v>0</v>
      </c>
      <c r="F21" s="423" t="s">
        <v>113</v>
      </c>
      <c r="G21" s="505">
        <f t="shared" si="7"/>
        <v>0</v>
      </c>
      <c r="H21" s="423" t="s">
        <v>113</v>
      </c>
      <c r="I21" s="505">
        <f t="shared" si="1"/>
        <v>0</v>
      </c>
      <c r="J21" s="423">
        <v>0</v>
      </c>
      <c r="K21" s="505">
        <f t="shared" si="2"/>
        <v>0</v>
      </c>
      <c r="L21" s="423">
        <v>58418.164117</v>
      </c>
      <c r="M21" s="505">
        <f t="shared" si="3"/>
        <v>0</v>
      </c>
      <c r="N21" s="423">
        <v>74654.142443999997</v>
      </c>
      <c r="O21" s="505">
        <f t="shared" si="4"/>
        <v>0.27792688408493205</v>
      </c>
      <c r="P21" s="423">
        <v>41087.737051999997</v>
      </c>
      <c r="Q21" s="505">
        <f t="shared" si="4"/>
        <v>-0.44962549020208797</v>
      </c>
      <c r="R21" s="423">
        <v>29444.614818999999</v>
      </c>
      <c r="S21" s="505">
        <f t="shared" si="5"/>
        <v>-0.28337219492678911</v>
      </c>
      <c r="T21" s="423">
        <f>C_BS!CL22</f>
        <v>29272.400000000001</v>
      </c>
      <c r="U21" s="505">
        <f>C_BS!CN22</f>
        <v>-5.8487713308061906E-3</v>
      </c>
      <c r="V21" s="124"/>
      <c r="W21" s="46"/>
      <c r="X21" s="46"/>
      <c r="Y21" s="124"/>
      <c r="Z21" s="46"/>
      <c r="AA21" s="46"/>
      <c r="AB21" s="124"/>
      <c r="AC21" s="46"/>
      <c r="AD21" s="46"/>
      <c r="AE21" s="124"/>
      <c r="AF21" s="46"/>
      <c r="AG21" s="46"/>
      <c r="AH21" s="124"/>
      <c r="AI21" s="46"/>
      <c r="AJ21" s="46"/>
      <c r="AK21" s="124"/>
      <c r="AL21" s="46"/>
      <c r="AM21" s="46"/>
      <c r="AN21" s="124"/>
      <c r="AO21" s="46"/>
      <c r="AP21" s="46"/>
      <c r="AQ21" s="124"/>
      <c r="AR21" s="46"/>
      <c r="AS21" s="46"/>
      <c r="AT21" s="124"/>
      <c r="AU21" s="46"/>
      <c r="AV21" s="46"/>
      <c r="AW21" s="124"/>
      <c r="AX21" s="46"/>
      <c r="AY21" s="46"/>
      <c r="AZ21" s="124"/>
      <c r="BA21" s="46"/>
      <c r="BB21" s="46"/>
      <c r="BC21" s="124"/>
      <c r="BD21" s="46"/>
      <c r="BE21" s="46"/>
      <c r="BF21" s="124"/>
      <c r="BG21" s="46"/>
      <c r="BH21" s="46"/>
      <c r="BI21" s="124"/>
      <c r="BJ21" s="46"/>
      <c r="BK21" s="46"/>
      <c r="BL21" s="124"/>
      <c r="BM21" s="46"/>
      <c r="BN21" s="46"/>
    </row>
    <row r="22" spans="1:66" ht="16.2" customHeight="1">
      <c r="A22" s="380">
        <f t="shared" si="6"/>
        <v>21</v>
      </c>
      <c r="B22" s="438"/>
      <c r="C22" s="439" t="str">
        <f>C_BS!C23</f>
        <v>장기기타채권</v>
      </c>
      <c r="D22" s="428" t="str">
        <f>C_BS!D23</f>
        <v>Other Non-current Assets</v>
      </c>
      <c r="E22" s="423">
        <v>2722.04</v>
      </c>
      <c r="F22" s="423">
        <v>2067.170936</v>
      </c>
      <c r="G22" s="505">
        <f t="shared" si="7"/>
        <v>-0.24058025010653772</v>
      </c>
      <c r="H22" s="423">
        <v>2926.1996300000001</v>
      </c>
      <c r="I22" s="505">
        <f t="shared" si="1"/>
        <v>0.41555764888134061</v>
      </c>
      <c r="J22" s="423">
        <v>1846.88456</v>
      </c>
      <c r="K22" s="505">
        <f t="shared" si="2"/>
        <v>-0.36884533062428149</v>
      </c>
      <c r="L22" s="423">
        <v>1894.43886</v>
      </c>
      <c r="M22" s="505">
        <f t="shared" si="3"/>
        <v>2.5748387868920197E-2</v>
      </c>
      <c r="N22" s="423">
        <v>1038.0038400000001</v>
      </c>
      <c r="O22" s="505">
        <f t="shared" si="4"/>
        <v>-0.45207846929406836</v>
      </c>
      <c r="P22" s="423">
        <v>1100.2748799999999</v>
      </c>
      <c r="Q22" s="505">
        <f t="shared" si="4"/>
        <v>5.999114608285061E-2</v>
      </c>
      <c r="R22" s="423">
        <v>606.68639700000006</v>
      </c>
      <c r="S22" s="505">
        <f t="shared" si="5"/>
        <v>-0.44860470049084455</v>
      </c>
      <c r="T22" s="423">
        <f>C_BS!CL23</f>
        <v>29507</v>
      </c>
      <c r="U22" s="505">
        <f>C_BS!CN23</f>
        <v>47.636330311523366</v>
      </c>
      <c r="V22" s="124"/>
      <c r="W22" s="46"/>
      <c r="X22" s="46"/>
      <c r="Y22" s="124"/>
      <c r="Z22" s="46"/>
      <c r="AA22" s="46"/>
      <c r="AB22" s="124"/>
      <c r="AC22" s="46"/>
      <c r="AD22" s="46"/>
      <c r="AE22" s="124"/>
      <c r="AF22" s="46"/>
      <c r="AG22" s="46"/>
      <c r="AH22" s="124"/>
      <c r="AI22" s="46"/>
      <c r="AJ22" s="46"/>
      <c r="AK22" s="124"/>
      <c r="AL22" s="46"/>
      <c r="AM22" s="46"/>
      <c r="AN22" s="124"/>
      <c r="AO22" s="46"/>
      <c r="AP22" s="46"/>
      <c r="AQ22" s="124"/>
      <c r="AR22" s="46"/>
      <c r="AS22" s="46"/>
      <c r="AT22" s="124"/>
      <c r="AU22" s="46"/>
      <c r="AV22" s="46"/>
      <c r="AW22" s="124"/>
      <c r="AX22" s="46"/>
      <c r="AY22" s="46"/>
      <c r="AZ22" s="124"/>
      <c r="BA22" s="46"/>
      <c r="BB22" s="46"/>
      <c r="BC22" s="124"/>
      <c r="BD22" s="46"/>
      <c r="BE22" s="46"/>
      <c r="BF22" s="124"/>
      <c r="BG22" s="46"/>
      <c r="BH22" s="46"/>
      <c r="BI22" s="124"/>
      <c r="BJ22" s="46"/>
      <c r="BK22" s="46"/>
      <c r="BL22" s="124"/>
      <c r="BM22" s="46"/>
      <c r="BN22" s="46"/>
    </row>
    <row r="23" spans="1:66" ht="16.2" customHeight="1">
      <c r="A23" s="380">
        <f t="shared" si="6"/>
        <v>22</v>
      </c>
      <c r="B23" s="438"/>
      <c r="C23" s="439" t="str">
        <f>C_BS!C24</f>
        <v>사용권자산</v>
      </c>
      <c r="D23" s="428" t="str">
        <f>C_BS!D24</f>
        <v>Right-of-Use Assets</v>
      </c>
      <c r="E23" s="423">
        <v>0</v>
      </c>
      <c r="F23" s="423" t="s">
        <v>113</v>
      </c>
      <c r="G23" s="505">
        <f t="shared" si="7"/>
        <v>0</v>
      </c>
      <c r="H23" s="423">
        <v>251.34474399999999</v>
      </c>
      <c r="I23" s="505">
        <f t="shared" si="1"/>
        <v>0</v>
      </c>
      <c r="J23" s="423">
        <v>384.94548200000003</v>
      </c>
      <c r="K23" s="505">
        <f t="shared" si="2"/>
        <v>0.53154379070683899</v>
      </c>
      <c r="L23" s="423">
        <v>800.74314800000002</v>
      </c>
      <c r="M23" s="505">
        <f t="shared" si="3"/>
        <v>1.0801468920734076</v>
      </c>
      <c r="N23" s="423">
        <v>1090.6440809999999</v>
      </c>
      <c r="O23" s="505">
        <f t="shared" si="4"/>
        <v>0.36203985475752076</v>
      </c>
      <c r="P23" s="423">
        <v>1217.303762</v>
      </c>
      <c r="Q23" s="505">
        <f t="shared" si="4"/>
        <v>0.11613291925984437</v>
      </c>
      <c r="R23" s="423">
        <v>773.10977500000001</v>
      </c>
      <c r="S23" s="505">
        <f t="shared" si="5"/>
        <v>-0.36489987205017771</v>
      </c>
      <c r="T23" s="423">
        <f>C_BS!CL24</f>
        <v>269.7</v>
      </c>
      <c r="U23" s="505">
        <f>C_BS!CN24</f>
        <v>-0.65114915278363927</v>
      </c>
      <c r="V23" s="124"/>
      <c r="W23" s="46"/>
      <c r="X23" s="46"/>
      <c r="Y23" s="124"/>
      <c r="Z23" s="46"/>
      <c r="AA23" s="46"/>
      <c r="AB23" s="124"/>
      <c r="AC23" s="46"/>
      <c r="AD23" s="46"/>
      <c r="AE23" s="124"/>
      <c r="AF23" s="46"/>
      <c r="AG23" s="46"/>
      <c r="AH23" s="124"/>
      <c r="AI23" s="46"/>
      <c r="AJ23" s="46"/>
      <c r="AK23" s="124"/>
      <c r="AL23" s="46"/>
      <c r="AM23" s="46"/>
      <c r="AN23" s="124"/>
      <c r="AO23" s="46"/>
      <c r="AP23" s="46"/>
      <c r="AQ23" s="124"/>
      <c r="AR23" s="46"/>
      <c r="AS23" s="46"/>
      <c r="AT23" s="124"/>
      <c r="AU23" s="46"/>
      <c r="AV23" s="46"/>
      <c r="AW23" s="124"/>
      <c r="AX23" s="46"/>
      <c r="AY23" s="46"/>
      <c r="AZ23" s="124"/>
      <c r="BA23" s="46"/>
      <c r="BB23" s="46"/>
      <c r="BC23" s="124"/>
      <c r="BD23" s="46"/>
      <c r="BE23" s="46"/>
      <c r="BF23" s="124"/>
      <c r="BG23" s="46"/>
      <c r="BH23" s="46"/>
      <c r="BI23" s="124"/>
      <c r="BJ23" s="46"/>
      <c r="BK23" s="46"/>
      <c r="BL23" s="124"/>
      <c r="BM23" s="46"/>
      <c r="BN23" s="46"/>
    </row>
    <row r="24" spans="1:66" ht="16.2" customHeight="1">
      <c r="A24" s="380">
        <f t="shared" si="6"/>
        <v>23</v>
      </c>
      <c r="B24" s="438"/>
      <c r="C24" s="439" t="str">
        <f>C_BS!C25</f>
        <v>이연법인세자산</v>
      </c>
      <c r="D24" s="428" t="str">
        <f>C_BS!D25</f>
        <v xml:space="preserve">Deferred Income Tax Assets </v>
      </c>
      <c r="E24" s="423">
        <v>478.277669</v>
      </c>
      <c r="F24" s="423">
        <v>385.551557</v>
      </c>
      <c r="G24" s="505">
        <f t="shared" si="7"/>
        <v>-0.1938750604724554</v>
      </c>
      <c r="H24" s="423">
        <v>611.72805200000005</v>
      </c>
      <c r="I24" s="505">
        <f t="shared" si="1"/>
        <v>0.58663099887312886</v>
      </c>
      <c r="J24" s="423">
        <v>1085.6728989999999</v>
      </c>
      <c r="K24" s="505">
        <f t="shared" si="2"/>
        <v>0.77476395834794887</v>
      </c>
      <c r="L24" s="423">
        <v>0</v>
      </c>
      <c r="M24" s="505">
        <f t="shared" si="3"/>
        <v>-1</v>
      </c>
      <c r="N24" s="423">
        <v>788.00773700000002</v>
      </c>
      <c r="O24" s="505">
        <f t="shared" si="4"/>
        <v>0</v>
      </c>
      <c r="P24" s="423">
        <v>1381.8306829999999</v>
      </c>
      <c r="Q24" s="505">
        <f t="shared" si="4"/>
        <v>0.75357501978435515</v>
      </c>
      <c r="R24" s="423">
        <v>0</v>
      </c>
      <c r="S24" s="505">
        <f t="shared" si="5"/>
        <v>-1</v>
      </c>
      <c r="T24" s="423">
        <f>C_BS!CL25</f>
        <v>0</v>
      </c>
      <c r="U24" s="505">
        <f>C_BS!CN25</f>
        <v>0</v>
      </c>
      <c r="V24" s="124"/>
      <c r="W24" s="46"/>
      <c r="X24" s="46"/>
      <c r="Y24" s="124"/>
      <c r="Z24" s="46"/>
      <c r="AA24" s="46"/>
      <c r="AB24" s="124"/>
      <c r="AC24" s="46"/>
      <c r="AD24" s="46"/>
      <c r="AE24" s="124"/>
      <c r="AF24" s="46"/>
      <c r="AG24" s="46"/>
      <c r="AH24" s="124"/>
      <c r="AI24" s="46"/>
      <c r="AJ24" s="46"/>
      <c r="AK24" s="124"/>
      <c r="AL24" s="46"/>
      <c r="AM24" s="46"/>
      <c r="AN24" s="124"/>
      <c r="AO24" s="46"/>
      <c r="AP24" s="46"/>
      <c r="AQ24" s="124"/>
      <c r="AR24" s="46"/>
      <c r="AS24" s="46"/>
      <c r="AT24" s="124"/>
      <c r="AU24" s="46"/>
      <c r="AV24" s="46"/>
      <c r="AW24" s="124"/>
      <c r="AX24" s="46"/>
      <c r="AY24" s="46"/>
      <c r="AZ24" s="124"/>
      <c r="BA24" s="46"/>
      <c r="BB24" s="46"/>
      <c r="BC24" s="124"/>
      <c r="BD24" s="46"/>
      <c r="BE24" s="46"/>
      <c r="BF24" s="124"/>
      <c r="BG24" s="46"/>
      <c r="BH24" s="46"/>
      <c r="BI24" s="124"/>
      <c r="BJ24" s="46"/>
      <c r="BK24" s="46"/>
      <c r="BL24" s="124"/>
      <c r="BM24" s="46"/>
      <c r="BN24" s="46"/>
    </row>
    <row r="25" spans="1:66" s="14" customFormat="1" ht="16.2" customHeight="1">
      <c r="A25" s="380">
        <f t="shared" si="6"/>
        <v>24</v>
      </c>
      <c r="B25" s="434" t="str">
        <f>C_BS!B27</f>
        <v>부채</v>
      </c>
      <c r="C25" s="435"/>
      <c r="D25" s="426" t="str">
        <f>C_BS!D27</f>
        <v>Total Liabilities</v>
      </c>
      <c r="E25" s="421">
        <f>E26+E37</f>
        <v>28069.163031999997</v>
      </c>
      <c r="F25" s="421">
        <v>24634.180260000001</v>
      </c>
      <c r="G25" s="503">
        <f t="shared" si="7"/>
        <v>-0.12237567497413349</v>
      </c>
      <c r="H25" s="421">
        <v>25740.865728999997</v>
      </c>
      <c r="I25" s="503">
        <f t="shared" si="1"/>
        <v>4.4924793815728892E-2</v>
      </c>
      <c r="J25" s="421">
        <v>13769.236723</v>
      </c>
      <c r="K25" s="503">
        <f t="shared" si="2"/>
        <v>-0.46508260957643721</v>
      </c>
      <c r="L25" s="421">
        <v>52634.773983999999</v>
      </c>
      <c r="M25" s="503">
        <f t="shared" si="3"/>
        <v>2.8226355638202794</v>
      </c>
      <c r="N25" s="421">
        <v>101857.251139</v>
      </c>
      <c r="O25" s="503">
        <f t="shared" si="4"/>
        <v>0.93517029578131616</v>
      </c>
      <c r="P25" s="421">
        <v>91942.522090999992</v>
      </c>
      <c r="Q25" s="503">
        <f t="shared" si="4"/>
        <v>-9.7339452391757786E-2</v>
      </c>
      <c r="R25" s="421">
        <v>155734.894073</v>
      </c>
      <c r="S25" s="503">
        <f t="shared" si="5"/>
        <v>0.69382882404358659</v>
      </c>
      <c r="T25" s="421">
        <f>C_BS!CL27</f>
        <v>152975.43700000001</v>
      </c>
      <c r="U25" s="503">
        <f>C_BS!CN27</f>
        <v>-1.7719001975989412E-2</v>
      </c>
      <c r="V25" s="123"/>
      <c r="W25" s="46"/>
      <c r="X25" s="46"/>
      <c r="Y25" s="123"/>
      <c r="Z25" s="46"/>
      <c r="AA25" s="46"/>
      <c r="AB25" s="123"/>
      <c r="AC25" s="46"/>
      <c r="AD25" s="46"/>
      <c r="AE25" s="123"/>
      <c r="AF25" s="46"/>
      <c r="AG25" s="46"/>
      <c r="AH25" s="123"/>
      <c r="AI25" s="46"/>
      <c r="AJ25" s="46"/>
      <c r="AK25" s="123"/>
      <c r="AL25" s="46"/>
      <c r="AM25" s="46"/>
      <c r="AN25" s="123"/>
      <c r="AO25" s="46"/>
      <c r="AP25" s="46"/>
      <c r="AQ25" s="123"/>
      <c r="AR25" s="46"/>
      <c r="AS25" s="46"/>
      <c r="AT25" s="123"/>
      <c r="AU25" s="46"/>
      <c r="AV25" s="46"/>
      <c r="AW25" s="123"/>
      <c r="AX25" s="46"/>
      <c r="AY25" s="46"/>
      <c r="AZ25" s="123"/>
      <c r="BA25" s="46"/>
      <c r="BB25" s="46"/>
      <c r="BC25" s="123"/>
      <c r="BD25" s="46"/>
      <c r="BE25" s="46"/>
      <c r="BF25" s="123"/>
      <c r="BG25" s="46"/>
      <c r="BH25" s="46"/>
      <c r="BI25" s="123"/>
      <c r="BJ25" s="46"/>
      <c r="BK25" s="46"/>
      <c r="BL25" s="123"/>
      <c r="BM25" s="46"/>
      <c r="BN25" s="46"/>
    </row>
    <row r="26" spans="1:66" s="14" customFormat="1" ht="16.2" customHeight="1">
      <c r="A26" s="380">
        <f t="shared" si="6"/>
        <v>25</v>
      </c>
      <c r="B26" s="436" t="str">
        <f>C_BS!B28</f>
        <v>　유동부채</v>
      </c>
      <c r="C26" s="437"/>
      <c r="D26" s="427" t="str">
        <f>C_BS!D28</f>
        <v>Current Liabilities</v>
      </c>
      <c r="E26" s="422">
        <f>SUM(E27:E35)</f>
        <v>14413.164370999999</v>
      </c>
      <c r="F26" s="422">
        <v>14824.976246999999</v>
      </c>
      <c r="G26" s="504">
        <f t="shared" si="7"/>
        <v>2.8571926705323936E-2</v>
      </c>
      <c r="H26" s="422">
        <v>25487.018111999998</v>
      </c>
      <c r="I26" s="504">
        <f t="shared" si="1"/>
        <v>0.71919453275060619</v>
      </c>
      <c r="J26" s="422">
        <v>13449.682548999999</v>
      </c>
      <c r="K26" s="504">
        <f t="shared" si="2"/>
        <v>-0.47229281629193354</v>
      </c>
      <c r="L26" s="422">
        <v>16793.038427</v>
      </c>
      <c r="M26" s="504">
        <f t="shared" si="3"/>
        <v>0.24858251232469297</v>
      </c>
      <c r="N26" s="422">
        <v>36225.225301999999</v>
      </c>
      <c r="O26" s="504">
        <f t="shared" si="4"/>
        <v>1.1571572922596753</v>
      </c>
      <c r="P26" s="422">
        <v>29246.386637999996</v>
      </c>
      <c r="Q26" s="504">
        <f t="shared" si="4"/>
        <v>-0.19265135291276436</v>
      </c>
      <c r="R26" s="422">
        <v>128903.65130500001</v>
      </c>
      <c r="S26" s="504">
        <f t="shared" si="5"/>
        <v>3.4075069136067144</v>
      </c>
      <c r="T26" s="422">
        <f>C_BS!CL28</f>
        <v>80204.027000000002</v>
      </c>
      <c r="U26" s="504">
        <f>C_BS!CN28</f>
        <v>-0.37779868943963812</v>
      </c>
      <c r="V26" s="123"/>
      <c r="W26" s="46"/>
      <c r="X26" s="46"/>
      <c r="Y26" s="123"/>
      <c r="Z26" s="46"/>
      <c r="AA26" s="46"/>
      <c r="AB26" s="123"/>
      <c r="AC26" s="46"/>
      <c r="AD26" s="46"/>
      <c r="AE26" s="123"/>
      <c r="AF26" s="46"/>
      <c r="AG26" s="46"/>
      <c r="AH26" s="123"/>
      <c r="AI26" s="46"/>
      <c r="AJ26" s="46"/>
      <c r="AK26" s="123"/>
      <c r="AL26" s="46"/>
      <c r="AM26" s="46"/>
      <c r="AN26" s="123"/>
      <c r="AO26" s="46"/>
      <c r="AP26" s="46"/>
      <c r="AQ26" s="123"/>
      <c r="AR26" s="46"/>
      <c r="AS26" s="46"/>
      <c r="AT26" s="123"/>
      <c r="AU26" s="46"/>
      <c r="AV26" s="46"/>
      <c r="AW26" s="123"/>
      <c r="AX26" s="46"/>
      <c r="AY26" s="46"/>
      <c r="AZ26" s="123"/>
      <c r="BA26" s="46"/>
      <c r="BB26" s="46"/>
      <c r="BC26" s="123"/>
      <c r="BD26" s="46"/>
      <c r="BE26" s="46"/>
      <c r="BF26" s="123"/>
      <c r="BG26" s="46"/>
      <c r="BH26" s="46"/>
      <c r="BI26" s="123"/>
      <c r="BJ26" s="46"/>
      <c r="BK26" s="46"/>
      <c r="BL26" s="123"/>
      <c r="BM26" s="46"/>
      <c r="BN26" s="46"/>
    </row>
    <row r="27" spans="1:66" ht="16.2" customHeight="1">
      <c r="A27" s="380">
        <f t="shared" si="6"/>
        <v>26</v>
      </c>
      <c r="B27" s="438"/>
      <c r="C27" s="439" t="str">
        <f>C_BS!C29</f>
        <v>매입채무</v>
      </c>
      <c r="D27" s="428" t="str">
        <f>C_BS!D29</f>
        <v>Accounts Payable</v>
      </c>
      <c r="E27" s="423">
        <v>559.53030200000001</v>
      </c>
      <c r="F27" s="423">
        <v>849.05637200000001</v>
      </c>
      <c r="G27" s="505">
        <f t="shared" si="7"/>
        <v>0.51744484430085436</v>
      </c>
      <c r="H27" s="423">
        <v>705.81276700000001</v>
      </c>
      <c r="I27" s="505">
        <f t="shared" si="1"/>
        <v>-0.168709180831635</v>
      </c>
      <c r="J27" s="423">
        <v>840.32986200000005</v>
      </c>
      <c r="K27" s="505">
        <f t="shared" si="2"/>
        <v>0.19058467243622412</v>
      </c>
      <c r="L27" s="423">
        <v>1762.6824790000001</v>
      </c>
      <c r="M27" s="505">
        <f t="shared" si="3"/>
        <v>1.097607807016145</v>
      </c>
      <c r="N27" s="423">
        <v>2124.969047</v>
      </c>
      <c r="O27" s="505">
        <f t="shared" si="4"/>
        <v>0.20553138317091091</v>
      </c>
      <c r="P27" s="423">
        <v>2374.5903090000002</v>
      </c>
      <c r="Q27" s="505">
        <f t="shared" si="4"/>
        <v>0.1174705402661802</v>
      </c>
      <c r="R27" s="423">
        <v>17245.621450999999</v>
      </c>
      <c r="S27" s="505">
        <f t="shared" si="5"/>
        <v>6.2625670986851478</v>
      </c>
      <c r="T27" s="423">
        <f>C_BS!CL29</f>
        <v>4594</v>
      </c>
      <c r="U27" s="505">
        <f>C_BS!CN29</f>
        <v>0.1717341533630552</v>
      </c>
      <c r="V27" s="124"/>
      <c r="W27" s="46"/>
      <c r="X27" s="46"/>
      <c r="Y27" s="124"/>
      <c r="Z27" s="46"/>
      <c r="AA27" s="46"/>
      <c r="AB27" s="124"/>
      <c r="AC27" s="46"/>
      <c r="AD27" s="46"/>
      <c r="AE27" s="124"/>
      <c r="AF27" s="46"/>
      <c r="AG27" s="46"/>
      <c r="AH27" s="124"/>
      <c r="AI27" s="46"/>
      <c r="AJ27" s="46"/>
      <c r="AK27" s="124"/>
      <c r="AL27" s="46"/>
      <c r="AM27" s="46"/>
      <c r="AN27" s="124"/>
      <c r="AO27" s="46"/>
      <c r="AP27" s="46"/>
      <c r="AQ27" s="124"/>
      <c r="AR27" s="46"/>
      <c r="AS27" s="46"/>
      <c r="AT27" s="124"/>
      <c r="AU27" s="46"/>
      <c r="AV27" s="46"/>
      <c r="AW27" s="124"/>
      <c r="AX27" s="46"/>
      <c r="AY27" s="46"/>
      <c r="AZ27" s="124"/>
      <c r="BA27" s="46"/>
      <c r="BB27" s="46"/>
      <c r="BC27" s="124"/>
      <c r="BD27" s="46"/>
      <c r="BE27" s="46"/>
      <c r="BF27" s="124"/>
      <c r="BG27" s="46"/>
      <c r="BH27" s="46"/>
      <c r="BI27" s="124"/>
      <c r="BJ27" s="46"/>
      <c r="BK27" s="46"/>
      <c r="BL27" s="124"/>
      <c r="BM27" s="46"/>
      <c r="BN27" s="46"/>
    </row>
    <row r="28" spans="1:66" ht="16.2" customHeight="1">
      <c r="A28" s="380">
        <f t="shared" si="6"/>
        <v>27</v>
      </c>
      <c r="B28" s="438"/>
      <c r="C28" s="439" t="str">
        <f>C_BS!C30</f>
        <v>기타채무</v>
      </c>
      <c r="D28" s="428" t="str">
        <f>C_BS!D30</f>
        <v>Other Liabilities</v>
      </c>
      <c r="E28" s="423"/>
      <c r="F28" s="423"/>
      <c r="G28" s="505">
        <f t="shared" si="7"/>
        <v>0</v>
      </c>
      <c r="H28" s="423"/>
      <c r="I28" s="505">
        <f t="shared" si="1"/>
        <v>0</v>
      </c>
      <c r="J28" s="423"/>
      <c r="K28" s="505">
        <f t="shared" si="2"/>
        <v>0</v>
      </c>
      <c r="L28" s="423"/>
      <c r="M28" s="505">
        <f t="shared" si="3"/>
        <v>0</v>
      </c>
      <c r="N28" s="423"/>
      <c r="O28" s="505">
        <f t="shared" si="4"/>
        <v>0</v>
      </c>
      <c r="P28" s="423"/>
      <c r="Q28" s="505">
        <f t="shared" si="4"/>
        <v>0</v>
      </c>
      <c r="R28" s="423"/>
      <c r="S28" s="505">
        <f t="shared" si="5"/>
        <v>0</v>
      </c>
      <c r="T28" s="423">
        <f>C_BS!CL30</f>
        <v>17129.642</v>
      </c>
      <c r="U28" s="505">
        <f>C_BS!CN30</f>
        <v>-0.17251258951261861</v>
      </c>
      <c r="V28" s="124"/>
      <c r="W28" s="46"/>
      <c r="X28" s="46"/>
      <c r="Y28" s="124"/>
      <c r="Z28" s="46"/>
      <c r="AA28" s="46"/>
      <c r="AB28" s="124"/>
      <c r="AC28" s="46"/>
      <c r="AD28" s="46"/>
      <c r="AE28" s="124"/>
      <c r="AF28" s="46"/>
      <c r="AG28" s="46"/>
      <c r="AH28" s="124"/>
      <c r="AI28" s="46"/>
      <c r="AJ28" s="46"/>
      <c r="AK28" s="124"/>
      <c r="AL28" s="46"/>
      <c r="AM28" s="46"/>
      <c r="AN28" s="124"/>
      <c r="AO28" s="46"/>
      <c r="AP28" s="46"/>
      <c r="AQ28" s="124"/>
      <c r="AR28" s="46"/>
      <c r="AS28" s="46"/>
      <c r="AT28" s="124"/>
      <c r="AU28" s="46"/>
      <c r="AV28" s="46"/>
      <c r="AW28" s="124"/>
      <c r="AX28" s="46"/>
      <c r="AY28" s="46"/>
      <c r="AZ28" s="124"/>
      <c r="BA28" s="46"/>
      <c r="BB28" s="46"/>
      <c r="BC28" s="124"/>
      <c r="BD28" s="46"/>
      <c r="BE28" s="46"/>
      <c r="BF28" s="124"/>
      <c r="BG28" s="46"/>
      <c r="BH28" s="46"/>
      <c r="BI28" s="124"/>
      <c r="BJ28" s="46"/>
      <c r="BK28" s="46"/>
      <c r="BL28" s="124"/>
      <c r="BM28" s="46"/>
      <c r="BN28" s="46"/>
    </row>
    <row r="29" spans="1:66" ht="16.2" customHeight="1">
      <c r="A29" s="380">
        <f t="shared" si="6"/>
        <v>28</v>
      </c>
      <c r="B29" s="438"/>
      <c r="C29" s="439" t="str">
        <f>C_BS!C31</f>
        <v>단기차입금</v>
      </c>
      <c r="D29" s="429" t="str">
        <f>C_BS!D31</f>
        <v>Current Loans Received</v>
      </c>
      <c r="E29" s="423">
        <v>7400</v>
      </c>
      <c r="F29" s="423">
        <v>5841.3627999999999</v>
      </c>
      <c r="G29" s="505">
        <f t="shared" si="7"/>
        <v>-0.21062664864864866</v>
      </c>
      <c r="H29" s="423">
        <v>9600</v>
      </c>
      <c r="I29" s="505">
        <f t="shared" si="1"/>
        <v>0.64345210675837494</v>
      </c>
      <c r="J29" s="423">
        <v>0</v>
      </c>
      <c r="K29" s="505">
        <f t="shared" si="2"/>
        <v>-1</v>
      </c>
      <c r="L29" s="423">
        <v>0</v>
      </c>
      <c r="M29" s="505">
        <f t="shared" si="3"/>
        <v>0</v>
      </c>
      <c r="N29" s="423">
        <v>2400</v>
      </c>
      <c r="O29" s="505">
        <f t="shared" si="4"/>
        <v>0</v>
      </c>
      <c r="P29" s="423">
        <v>2400</v>
      </c>
      <c r="Q29" s="505">
        <f t="shared" si="4"/>
        <v>0</v>
      </c>
      <c r="R29" s="423">
        <v>76716.824622999993</v>
      </c>
      <c r="S29" s="505">
        <f t="shared" si="5"/>
        <v>30.965343592916664</v>
      </c>
      <c r="T29" s="423">
        <f>C_BS!CL31</f>
        <v>21324.799999999999</v>
      </c>
      <c r="U29" s="505">
        <f>C_BS!CN31</f>
        <v>-0.72203229076810949</v>
      </c>
      <c r="V29" s="124"/>
      <c r="W29" s="46"/>
      <c r="X29" s="46"/>
      <c r="Y29" s="124"/>
      <c r="Z29" s="46"/>
      <c r="AA29" s="46"/>
      <c r="AB29" s="124"/>
      <c r="AC29" s="46"/>
      <c r="AD29" s="46"/>
      <c r="AE29" s="124"/>
      <c r="AF29" s="46"/>
      <c r="AG29" s="46"/>
      <c r="AH29" s="124"/>
      <c r="AI29" s="46"/>
      <c r="AJ29" s="46"/>
      <c r="AK29" s="124"/>
      <c r="AL29" s="46"/>
      <c r="AM29" s="46"/>
      <c r="AN29" s="124"/>
      <c r="AO29" s="46"/>
      <c r="AP29" s="46"/>
      <c r="AQ29" s="124"/>
      <c r="AR29" s="46"/>
      <c r="AS29" s="46"/>
      <c r="AT29" s="124"/>
      <c r="AU29" s="46"/>
      <c r="AV29" s="46"/>
      <c r="AW29" s="124"/>
      <c r="AX29" s="46"/>
      <c r="AY29" s="46"/>
      <c r="AZ29" s="124"/>
      <c r="BA29" s="46"/>
      <c r="BB29" s="46"/>
      <c r="BC29" s="124"/>
      <c r="BD29" s="46"/>
      <c r="BE29" s="46"/>
      <c r="BF29" s="124"/>
      <c r="BG29" s="46"/>
      <c r="BH29" s="46"/>
      <c r="BI29" s="124"/>
      <c r="BJ29" s="46"/>
      <c r="BK29" s="46"/>
      <c r="BL29" s="124"/>
      <c r="BM29" s="46"/>
      <c r="BN29" s="46"/>
    </row>
    <row r="30" spans="1:66" ht="16.2" customHeight="1">
      <c r="A30" s="380">
        <f t="shared" si="6"/>
        <v>29</v>
      </c>
      <c r="B30" s="438"/>
      <c r="C30" s="439" t="str">
        <f>C_BS!C32</f>
        <v>당기법인세부채</v>
      </c>
      <c r="D30" s="428" t="str">
        <f>C_BS!D32</f>
        <v>Current Income Tax Liabilities</v>
      </c>
      <c r="E30" s="423">
        <v>1386.2138709999999</v>
      </c>
      <c r="F30" s="423">
        <v>1869.8462099999999</v>
      </c>
      <c r="G30" s="505">
        <f t="shared" si="7"/>
        <v>0.34888724540832428</v>
      </c>
      <c r="H30" s="423">
        <v>7265.4351360000001</v>
      </c>
      <c r="I30" s="505">
        <f t="shared" si="1"/>
        <v>2.8855789835250678</v>
      </c>
      <c r="J30" s="423">
        <v>4396.4878559999997</v>
      </c>
      <c r="K30" s="505">
        <f t="shared" si="2"/>
        <v>-0.39487618102657851</v>
      </c>
      <c r="L30" s="423">
        <v>5965.6538119999996</v>
      </c>
      <c r="M30" s="505">
        <f t="shared" si="3"/>
        <v>0.35691351992671128</v>
      </c>
      <c r="N30" s="423">
        <v>18158.545451999998</v>
      </c>
      <c r="O30" s="505">
        <f t="shared" si="4"/>
        <v>2.043848339887544</v>
      </c>
      <c r="P30" s="423">
        <v>10482.475130999999</v>
      </c>
      <c r="Q30" s="505">
        <f t="shared" si="4"/>
        <v>-0.42272495565742296</v>
      </c>
      <c r="R30" s="423">
        <v>17398.947957</v>
      </c>
      <c r="S30" s="505">
        <f t="shared" si="5"/>
        <v>0.65981294871340079</v>
      </c>
      <c r="T30" s="423">
        <f>C_BS!CL32</f>
        <v>27521.185000000001</v>
      </c>
      <c r="U30" s="505">
        <f>C_BS!CN32</f>
        <v>0.58177293638766181</v>
      </c>
      <c r="V30" s="124"/>
      <c r="W30" s="46"/>
      <c r="X30" s="46"/>
      <c r="Y30" s="124"/>
      <c r="Z30" s="46"/>
      <c r="AA30" s="46"/>
      <c r="AB30" s="124"/>
      <c r="AC30" s="46"/>
      <c r="AD30" s="46"/>
      <c r="AE30" s="124"/>
      <c r="AF30" s="46"/>
      <c r="AG30" s="46"/>
      <c r="AH30" s="124"/>
      <c r="AI30" s="46"/>
      <c r="AJ30" s="46"/>
      <c r="AK30" s="124"/>
      <c r="AL30" s="46"/>
      <c r="AM30" s="46"/>
      <c r="AN30" s="124"/>
      <c r="AO30" s="46"/>
      <c r="AP30" s="46"/>
      <c r="AQ30" s="124"/>
      <c r="AR30" s="46"/>
      <c r="AS30" s="46"/>
      <c r="AT30" s="124"/>
      <c r="AU30" s="46"/>
      <c r="AV30" s="46"/>
      <c r="AW30" s="124"/>
      <c r="AX30" s="46"/>
      <c r="AY30" s="46"/>
      <c r="AZ30" s="124"/>
      <c r="BA30" s="46"/>
      <c r="BB30" s="46"/>
      <c r="BC30" s="124"/>
      <c r="BD30" s="46"/>
      <c r="BE30" s="46"/>
      <c r="BF30" s="124"/>
      <c r="BG30" s="46"/>
      <c r="BH30" s="46"/>
      <c r="BI30" s="124"/>
      <c r="BJ30" s="46"/>
      <c r="BK30" s="46"/>
      <c r="BL30" s="124"/>
      <c r="BM30" s="46"/>
      <c r="BN30" s="46"/>
    </row>
    <row r="31" spans="1:66" ht="16.2" customHeight="1">
      <c r="A31" s="380">
        <f t="shared" si="6"/>
        <v>30</v>
      </c>
      <c r="B31" s="438"/>
      <c r="C31" s="439" t="str">
        <f>C_BS!C33</f>
        <v>기타금융부채</v>
      </c>
      <c r="D31" s="428" t="str">
        <f>C_BS!D33</f>
        <v xml:space="preserve">Other Financial Liabilities </v>
      </c>
      <c r="E31" s="423">
        <v>319.89434799999998</v>
      </c>
      <c r="F31" s="423">
        <v>612.73799699999995</v>
      </c>
      <c r="G31" s="505">
        <f t="shared" si="7"/>
        <v>0.91543864663717023</v>
      </c>
      <c r="H31" s="423">
        <v>801.48676</v>
      </c>
      <c r="I31" s="505">
        <f t="shared" si="1"/>
        <v>0.3080415510774992</v>
      </c>
      <c r="J31" s="423">
        <v>580.43126700000005</v>
      </c>
      <c r="K31" s="505">
        <f t="shared" si="2"/>
        <v>-0.27580679311533474</v>
      </c>
      <c r="L31" s="423">
        <v>980.20801500000005</v>
      </c>
      <c r="M31" s="505">
        <f t="shared" si="3"/>
        <v>0.68875811957249367</v>
      </c>
      <c r="N31" s="423">
        <v>5465.274676</v>
      </c>
      <c r="O31" s="505">
        <f t="shared" si="4"/>
        <v>4.5756274100656071</v>
      </c>
      <c r="P31" s="423">
        <v>6794.9653099999996</v>
      </c>
      <c r="Q31" s="505">
        <f t="shared" si="4"/>
        <v>0.24329804315950532</v>
      </c>
      <c r="R31" s="423">
        <v>7598.3008680000003</v>
      </c>
      <c r="S31" s="505">
        <f t="shared" si="5"/>
        <v>0.11822511541269387</v>
      </c>
      <c r="T31" s="423">
        <f>C_BS!CL33</f>
        <v>0</v>
      </c>
      <c r="U31" s="505">
        <f>C_BS!CN33</f>
        <v>0</v>
      </c>
      <c r="V31" s="124"/>
      <c r="W31" s="46"/>
      <c r="X31" s="46"/>
      <c r="Y31" s="124"/>
      <c r="Z31" s="46"/>
      <c r="AA31" s="46"/>
      <c r="AB31" s="124"/>
      <c r="AC31" s="46"/>
      <c r="AD31" s="46"/>
      <c r="AE31" s="124"/>
      <c r="AF31" s="46"/>
      <c r="AG31" s="46"/>
      <c r="AH31" s="124"/>
      <c r="AI31" s="46"/>
      <c r="AJ31" s="46"/>
      <c r="AK31" s="124"/>
      <c r="AL31" s="46"/>
      <c r="AM31" s="46"/>
      <c r="AN31" s="124"/>
      <c r="AO31" s="46"/>
      <c r="AP31" s="46"/>
      <c r="AQ31" s="124"/>
      <c r="AR31" s="46"/>
      <c r="AS31" s="46"/>
      <c r="AT31" s="124"/>
      <c r="AU31" s="46"/>
      <c r="AV31" s="46"/>
      <c r="AW31" s="124"/>
      <c r="AX31" s="46"/>
      <c r="AY31" s="46"/>
      <c r="AZ31" s="124"/>
      <c r="BA31" s="46"/>
      <c r="BB31" s="46"/>
      <c r="BC31" s="124"/>
      <c r="BD31" s="46"/>
      <c r="BE31" s="46"/>
      <c r="BF31" s="124"/>
      <c r="BG31" s="46"/>
      <c r="BH31" s="46"/>
      <c r="BI31" s="124"/>
      <c r="BJ31" s="46"/>
      <c r="BK31" s="46"/>
      <c r="BL31" s="124"/>
      <c r="BM31" s="46"/>
      <c r="BN31" s="46"/>
    </row>
    <row r="32" spans="1:66" ht="16.2" customHeight="1">
      <c r="A32" s="380">
        <f t="shared" si="6"/>
        <v>31</v>
      </c>
      <c r="B32" s="438"/>
      <c r="C32" s="439" t="str">
        <f>C_BS!C34</f>
        <v>기타유동부채</v>
      </c>
      <c r="D32" s="428" t="str">
        <f>C_BS!D34</f>
        <v>Other Current Liabilities</v>
      </c>
      <c r="E32" s="423">
        <v>4523.3685079999996</v>
      </c>
      <c r="F32" s="423">
        <v>5177.8308429999997</v>
      </c>
      <c r="G32" s="505">
        <f t="shared" si="7"/>
        <v>0.14468472640301644</v>
      </c>
      <c r="H32" s="423">
        <v>6165.8761329999998</v>
      </c>
      <c r="I32" s="505">
        <f t="shared" si="1"/>
        <v>0.19082224196948339</v>
      </c>
      <c r="J32" s="423">
        <v>6641.2731389999999</v>
      </c>
      <c r="K32" s="505">
        <f t="shared" si="2"/>
        <v>7.7101290351205387E-2</v>
      </c>
      <c r="L32" s="423">
        <v>6742.8183419999996</v>
      </c>
      <c r="M32" s="505">
        <f t="shared" si="3"/>
        <v>1.5290020584108888E-2</v>
      </c>
      <c r="N32" s="423">
        <v>6293.1827620000004</v>
      </c>
      <c r="O32" s="505">
        <f t="shared" si="4"/>
        <v>-6.6683626518497019E-2</v>
      </c>
      <c r="P32" s="423">
        <v>5072.1659609999997</v>
      </c>
      <c r="Q32" s="505">
        <f t="shared" si="4"/>
        <v>-0.19402214224141745</v>
      </c>
      <c r="R32" s="423">
        <v>5307.068671</v>
      </c>
      <c r="S32" s="505">
        <f t="shared" si="5"/>
        <v>4.6312110409275409E-2</v>
      </c>
      <c r="T32" s="423">
        <f>C_BS!CL34</f>
        <v>4936.8</v>
      </c>
      <c r="U32" s="505">
        <f>C_BS!CN34</f>
        <v>-0.1071932000170871</v>
      </c>
      <c r="V32" s="124"/>
      <c r="W32" s="46"/>
      <c r="X32" s="46"/>
      <c r="Y32" s="124"/>
      <c r="Z32" s="46"/>
      <c r="AA32" s="46"/>
      <c r="AB32" s="124"/>
      <c r="AC32" s="46"/>
      <c r="AD32" s="46"/>
      <c r="AE32" s="124"/>
      <c r="AF32" s="46"/>
      <c r="AG32" s="46"/>
      <c r="AH32" s="124"/>
      <c r="AI32" s="46"/>
      <c r="AJ32" s="46"/>
      <c r="AK32" s="124"/>
      <c r="AL32" s="46"/>
      <c r="AM32" s="46"/>
      <c r="AN32" s="124"/>
      <c r="AO32" s="46"/>
      <c r="AP32" s="46"/>
      <c r="AQ32" s="124"/>
      <c r="AR32" s="46"/>
      <c r="AS32" s="46"/>
      <c r="AT32" s="124"/>
      <c r="AU32" s="46"/>
      <c r="AV32" s="46"/>
      <c r="AW32" s="124"/>
      <c r="AX32" s="46"/>
      <c r="AY32" s="46"/>
      <c r="AZ32" s="124"/>
      <c r="BA32" s="46"/>
      <c r="BB32" s="46"/>
      <c r="BC32" s="124"/>
      <c r="BD32" s="46"/>
      <c r="BE32" s="46"/>
      <c r="BF32" s="124"/>
      <c r="BG32" s="46"/>
      <c r="BH32" s="46"/>
      <c r="BI32" s="124"/>
      <c r="BJ32" s="46"/>
      <c r="BK32" s="46"/>
      <c r="BL32" s="124"/>
      <c r="BM32" s="46"/>
      <c r="BN32" s="46"/>
    </row>
    <row r="33" spans="1:66" ht="16.2" customHeight="1">
      <c r="A33" s="380">
        <f t="shared" si="6"/>
        <v>32</v>
      </c>
      <c r="B33" s="438"/>
      <c r="C33" s="439" t="str">
        <f>C_BS!C35</f>
        <v>전환사채(유동)</v>
      </c>
      <c r="D33" s="428" t="str">
        <f>C_BS!D35</f>
        <v>Current Convertible Bonds</v>
      </c>
      <c r="E33" s="423"/>
      <c r="F33" s="423"/>
      <c r="G33" s="505"/>
      <c r="H33" s="423"/>
      <c r="I33" s="505"/>
      <c r="J33" s="423"/>
      <c r="K33" s="505"/>
      <c r="L33" s="423"/>
      <c r="M33" s="505">
        <f t="shared" si="3"/>
        <v>0</v>
      </c>
      <c r="N33" s="423">
        <v>0</v>
      </c>
      <c r="O33" s="505">
        <f t="shared" si="4"/>
        <v>0</v>
      </c>
      <c r="P33" s="423">
        <v>0</v>
      </c>
      <c r="Q33" s="505">
        <f t="shared" si="4"/>
        <v>0</v>
      </c>
      <c r="R33" s="423">
        <v>2096.5291579999998</v>
      </c>
      <c r="S33" s="505">
        <f t="shared" si="5"/>
        <v>0</v>
      </c>
      <c r="T33" s="423">
        <f>C_BS!CL35</f>
        <v>2414.6</v>
      </c>
      <c r="U33" s="505">
        <f>C_BS!CN35</f>
        <v>0.15171305430515747</v>
      </c>
      <c r="V33" s="124"/>
      <c r="W33" s="46"/>
      <c r="X33" s="46"/>
      <c r="Y33" s="124"/>
      <c r="Z33" s="46"/>
      <c r="AA33" s="46"/>
      <c r="AB33" s="124"/>
      <c r="AC33" s="46"/>
      <c r="AD33" s="46"/>
      <c r="AE33" s="124"/>
      <c r="AF33" s="46"/>
      <c r="AG33" s="46"/>
      <c r="AH33" s="124"/>
      <c r="AI33" s="46"/>
      <c r="AJ33" s="46"/>
      <c r="AK33" s="124"/>
      <c r="AL33" s="46"/>
      <c r="AM33" s="46"/>
      <c r="AN33" s="124"/>
      <c r="AO33" s="46"/>
      <c r="AP33" s="46"/>
      <c r="AQ33" s="124"/>
      <c r="AR33" s="46"/>
      <c r="AS33" s="46"/>
      <c r="AT33" s="124"/>
      <c r="AU33" s="46"/>
      <c r="AV33" s="46"/>
      <c r="AW33" s="124"/>
      <c r="AX33" s="46"/>
      <c r="AY33" s="46"/>
      <c r="AZ33" s="124"/>
      <c r="BA33" s="46"/>
      <c r="BB33" s="46"/>
      <c r="BC33" s="124"/>
      <c r="BD33" s="46"/>
      <c r="BE33" s="46"/>
      <c r="BF33" s="124"/>
      <c r="BG33" s="46"/>
      <c r="BH33" s="46"/>
      <c r="BI33" s="124"/>
      <c r="BJ33" s="46"/>
      <c r="BK33" s="46"/>
      <c r="BL33" s="124"/>
      <c r="BM33" s="46"/>
      <c r="BN33" s="46"/>
    </row>
    <row r="34" spans="1:66" ht="16.2" customHeight="1">
      <c r="A34" s="380">
        <f t="shared" si="6"/>
        <v>33</v>
      </c>
      <c r="B34" s="438"/>
      <c r="C34" s="439" t="str">
        <f>C_BS!C36</f>
        <v>충당부채(유동)</v>
      </c>
      <c r="D34" s="428" t="str">
        <f>C_BS!D36</f>
        <v>Current Provision</v>
      </c>
      <c r="E34" s="423">
        <v>224.157342</v>
      </c>
      <c r="F34" s="423">
        <v>474.14202499999999</v>
      </c>
      <c r="G34" s="505">
        <f>IFERROR(F34/E34-1,0)</f>
        <v>1.1152196968859491</v>
      </c>
      <c r="H34" s="423">
        <v>756.12944400000003</v>
      </c>
      <c r="I34" s="505">
        <f t="shared" si="1"/>
        <v>0.59473196665070982</v>
      </c>
      <c r="J34" s="423">
        <v>775.58098399999994</v>
      </c>
      <c r="K34" s="505">
        <f t="shared" si="2"/>
        <v>2.5725145547962347E-2</v>
      </c>
      <c r="L34" s="423">
        <v>827.52125100000001</v>
      </c>
      <c r="M34" s="505">
        <f t="shared" si="3"/>
        <v>6.6969495219083575E-2</v>
      </c>
      <c r="N34" s="423">
        <v>1225.9501250000001</v>
      </c>
      <c r="O34" s="505">
        <f t="shared" si="4"/>
        <v>0.48147267942488159</v>
      </c>
      <c r="P34" s="423">
        <v>1382.8205379999999</v>
      </c>
      <c r="Q34" s="505">
        <f t="shared" si="4"/>
        <v>0.12795823402685325</v>
      </c>
      <c r="R34" s="423">
        <v>1994.70796</v>
      </c>
      <c r="S34" s="505">
        <f t="shared" si="5"/>
        <v>0.44249228673229335</v>
      </c>
      <c r="T34" s="423">
        <f>C_BS!CL36</f>
        <v>2050.6</v>
      </c>
      <c r="U34" s="505">
        <f>C_BS!CN36</f>
        <v>2.8020161908813845E-2</v>
      </c>
      <c r="V34" s="124"/>
      <c r="W34" s="46"/>
      <c r="X34" s="46"/>
      <c r="Y34" s="124"/>
      <c r="Z34" s="46"/>
      <c r="AA34" s="46"/>
      <c r="AB34" s="124"/>
      <c r="AC34" s="46"/>
      <c r="AD34" s="46"/>
      <c r="AE34" s="124"/>
      <c r="AF34" s="46"/>
      <c r="AG34" s="46"/>
      <c r="AH34" s="124"/>
      <c r="AI34" s="46"/>
      <c r="AJ34" s="46"/>
      <c r="AK34" s="124"/>
      <c r="AL34" s="46"/>
      <c r="AM34" s="46"/>
      <c r="AN34" s="124"/>
      <c r="AO34" s="46"/>
      <c r="AP34" s="46"/>
      <c r="AQ34" s="124"/>
      <c r="AR34" s="46"/>
      <c r="AS34" s="46"/>
      <c r="AT34" s="124"/>
      <c r="AU34" s="46"/>
      <c r="AV34" s="46"/>
      <c r="AW34" s="124"/>
      <c r="AX34" s="46"/>
      <c r="AY34" s="46"/>
      <c r="AZ34" s="124"/>
      <c r="BA34" s="46"/>
      <c r="BB34" s="46"/>
      <c r="BC34" s="124"/>
      <c r="BD34" s="46"/>
      <c r="BE34" s="46"/>
      <c r="BF34" s="124"/>
      <c r="BG34" s="46"/>
      <c r="BH34" s="46"/>
      <c r="BI34" s="124"/>
      <c r="BJ34" s="46"/>
      <c r="BK34" s="46"/>
      <c r="BL34" s="124"/>
      <c r="BM34" s="46"/>
      <c r="BN34" s="46"/>
    </row>
    <row r="35" spans="1:66" ht="16.2" customHeight="1">
      <c r="A35" s="380">
        <f t="shared" si="6"/>
        <v>34</v>
      </c>
      <c r="B35" s="438"/>
      <c r="C35" s="439" t="str">
        <f>C_BS!C37</f>
        <v>리스부채</v>
      </c>
      <c r="D35" s="428" t="str">
        <f>C_BS!D37</f>
        <v>Lease Liabilities</v>
      </c>
      <c r="E35" s="423">
        <v>0</v>
      </c>
      <c r="F35" s="423" t="s">
        <v>113</v>
      </c>
      <c r="G35" s="505">
        <f>IFERROR(F35/E35-1,0)</f>
        <v>0</v>
      </c>
      <c r="H35" s="423">
        <v>192.277872</v>
      </c>
      <c r="I35" s="505">
        <f t="shared" si="1"/>
        <v>0</v>
      </c>
      <c r="J35" s="423">
        <v>215.579441</v>
      </c>
      <c r="K35" s="505">
        <f t="shared" si="2"/>
        <v>0.12118695072722674</v>
      </c>
      <c r="L35" s="423">
        <v>514.15452800000003</v>
      </c>
      <c r="M35" s="505">
        <f t="shared" si="3"/>
        <v>1.3849886873025152</v>
      </c>
      <c r="N35" s="423">
        <v>557.30323999999996</v>
      </c>
      <c r="O35" s="505">
        <f t="shared" si="4"/>
        <v>8.3921680448567182E-2</v>
      </c>
      <c r="P35" s="423">
        <v>739.36938899999996</v>
      </c>
      <c r="Q35" s="505">
        <f t="shared" si="4"/>
        <v>0.32669135209047062</v>
      </c>
      <c r="R35" s="423">
        <v>538.59117600000002</v>
      </c>
      <c r="S35" s="505">
        <f t="shared" si="5"/>
        <v>-0.27155332096119544</v>
      </c>
      <c r="T35" s="423">
        <f>C_BS!CL37</f>
        <v>232.4</v>
      </c>
      <c r="U35" s="505">
        <f>C_BS!CN37</f>
        <v>-0.56850388503208604</v>
      </c>
      <c r="V35" s="124"/>
      <c r="W35" s="46"/>
      <c r="X35" s="46"/>
      <c r="Y35" s="124"/>
      <c r="Z35" s="46"/>
      <c r="AA35" s="46"/>
      <c r="AB35" s="124"/>
      <c r="AC35" s="46"/>
      <c r="AD35" s="46"/>
      <c r="AE35" s="124"/>
      <c r="AF35" s="46"/>
      <c r="AG35" s="46"/>
      <c r="AH35" s="124"/>
      <c r="AI35" s="46"/>
      <c r="AJ35" s="46"/>
      <c r="AK35" s="124"/>
      <c r="AL35" s="46"/>
      <c r="AM35" s="46"/>
      <c r="AN35" s="124"/>
      <c r="AO35" s="46"/>
      <c r="AP35" s="46"/>
      <c r="AQ35" s="124"/>
      <c r="AR35" s="46"/>
      <c r="AS35" s="46"/>
      <c r="AT35" s="124"/>
      <c r="AU35" s="46"/>
      <c r="AV35" s="46"/>
      <c r="AW35" s="124"/>
      <c r="AX35" s="46"/>
      <c r="AY35" s="46"/>
      <c r="AZ35" s="124"/>
      <c r="BA35" s="46"/>
      <c r="BB35" s="46"/>
      <c r="BC35" s="124"/>
      <c r="BD35" s="46"/>
      <c r="BE35" s="46"/>
      <c r="BF35" s="124"/>
      <c r="BG35" s="46"/>
      <c r="BH35" s="46"/>
      <c r="BI35" s="124"/>
      <c r="BJ35" s="46"/>
      <c r="BK35" s="46"/>
      <c r="BL35" s="124"/>
      <c r="BM35" s="46"/>
      <c r="BN35" s="46"/>
    </row>
    <row r="36" spans="1:66" ht="16.2" customHeight="1">
      <c r="A36" s="380">
        <f t="shared" si="6"/>
        <v>35</v>
      </c>
      <c r="B36" s="438"/>
      <c r="C36" s="439" t="str">
        <f>C_BS!C38</f>
        <v>파생상품부채(유동)</v>
      </c>
      <c r="D36" s="428" t="str">
        <f>C_BS!D38</f>
        <v>Current Derivative Liabilities</v>
      </c>
      <c r="E36" s="423"/>
      <c r="F36" s="423"/>
      <c r="G36" s="505"/>
      <c r="H36" s="423"/>
      <c r="I36" s="505"/>
      <c r="J36" s="423"/>
      <c r="K36" s="505"/>
      <c r="L36" s="423"/>
      <c r="M36" s="505"/>
      <c r="N36" s="423">
        <v>0</v>
      </c>
      <c r="O36" s="505"/>
      <c r="P36" s="423">
        <v>0</v>
      </c>
      <c r="Q36" s="505"/>
      <c r="R36" s="423">
        <v>7.0594409999999996</v>
      </c>
      <c r="S36" s="505">
        <f t="shared" si="5"/>
        <v>0</v>
      </c>
      <c r="T36" s="423">
        <f>C_BS!CL38</f>
        <v>0</v>
      </c>
      <c r="U36" s="505">
        <f>C_BS!CN38</f>
        <v>-1</v>
      </c>
      <c r="V36" s="124"/>
      <c r="W36" s="46"/>
      <c r="X36" s="46"/>
      <c r="Y36" s="124"/>
      <c r="Z36" s="46"/>
      <c r="AA36" s="46"/>
      <c r="AB36" s="124"/>
      <c r="AC36" s="46"/>
      <c r="AD36" s="46"/>
      <c r="AE36" s="124"/>
      <c r="AF36" s="46"/>
      <c r="AG36" s="46"/>
      <c r="AH36" s="124"/>
      <c r="AI36" s="46"/>
      <c r="AJ36" s="46"/>
      <c r="AK36" s="124"/>
      <c r="AL36" s="46"/>
      <c r="AM36" s="46"/>
      <c r="AN36" s="124"/>
      <c r="AO36" s="46"/>
      <c r="AP36" s="46"/>
      <c r="AQ36" s="124"/>
      <c r="AR36" s="46"/>
      <c r="AS36" s="46"/>
      <c r="AT36" s="124"/>
      <c r="AU36" s="46"/>
      <c r="AV36" s="46"/>
      <c r="AW36" s="124"/>
      <c r="AX36" s="46"/>
      <c r="AY36" s="46"/>
      <c r="AZ36" s="124"/>
      <c r="BA36" s="46"/>
      <c r="BB36" s="46"/>
      <c r="BC36" s="124"/>
      <c r="BD36" s="46"/>
      <c r="BE36" s="46"/>
      <c r="BF36" s="124"/>
      <c r="BG36" s="46"/>
      <c r="BH36" s="46"/>
      <c r="BI36" s="124"/>
      <c r="BJ36" s="46"/>
      <c r="BK36" s="46"/>
      <c r="BL36" s="124"/>
      <c r="BM36" s="46"/>
      <c r="BN36" s="46"/>
    </row>
    <row r="37" spans="1:66" s="14" customFormat="1" ht="16.2" customHeight="1">
      <c r="A37" s="380">
        <f t="shared" si="6"/>
        <v>36</v>
      </c>
      <c r="B37" s="436" t="str">
        <f>C_BS!B39</f>
        <v>　비유동부채</v>
      </c>
      <c r="C37" s="437"/>
      <c r="D37" s="427" t="str">
        <f>C_BS!D39</f>
        <v>Non-Current Liabilities</v>
      </c>
      <c r="E37" s="422">
        <f>SUM(E38:E42)</f>
        <v>13655.998661</v>
      </c>
      <c r="F37" s="422">
        <v>9809.2040130000005</v>
      </c>
      <c r="G37" s="504">
        <f t="shared" ref="G37:G51" si="8">IFERROR(F37/E37-1,0)</f>
        <v>-0.28169266441025753</v>
      </c>
      <c r="H37" s="422">
        <v>253.84761699999999</v>
      </c>
      <c r="I37" s="504">
        <f t="shared" si="1"/>
        <v>-0.97412148665033582</v>
      </c>
      <c r="J37" s="422">
        <v>319.55417399999999</v>
      </c>
      <c r="K37" s="504">
        <f t="shared" si="2"/>
        <v>0.2588425204716418</v>
      </c>
      <c r="L37" s="422">
        <v>35841.735557</v>
      </c>
      <c r="M37" s="504">
        <f t="shared" si="3"/>
        <v>111.16168798032975</v>
      </c>
      <c r="N37" s="422">
        <v>65632.025836999994</v>
      </c>
      <c r="O37" s="504">
        <f t="shared" si="4"/>
        <v>0.83116204662086624</v>
      </c>
      <c r="P37" s="422">
        <v>62696.135452999995</v>
      </c>
      <c r="Q37" s="504">
        <f t="shared" si="4"/>
        <v>-4.4732588192407885E-2</v>
      </c>
      <c r="R37" s="422">
        <v>26831.242768</v>
      </c>
      <c r="S37" s="504">
        <f t="shared" si="5"/>
        <v>-0.57204311598895963</v>
      </c>
      <c r="T37" s="422">
        <f>C_BS!CL39</f>
        <v>72771.41</v>
      </c>
      <c r="U37" s="504">
        <f>C_BS!CN39</f>
        <v>1.7121893171042402</v>
      </c>
      <c r="V37" s="123"/>
      <c r="W37" s="46"/>
      <c r="X37" s="46"/>
      <c r="Y37" s="123"/>
      <c r="Z37" s="46"/>
      <c r="AA37" s="46"/>
      <c r="AB37" s="123"/>
      <c r="AC37" s="46"/>
      <c r="AD37" s="46"/>
      <c r="AE37" s="123"/>
      <c r="AF37" s="46"/>
      <c r="AG37" s="46"/>
      <c r="AH37" s="123"/>
      <c r="AI37" s="46"/>
      <c r="AJ37" s="46"/>
      <c r="AK37" s="123"/>
      <c r="AL37" s="46"/>
      <c r="AM37" s="46"/>
      <c r="AN37" s="123"/>
      <c r="AO37" s="46"/>
      <c r="AP37" s="46"/>
      <c r="AQ37" s="123"/>
      <c r="AR37" s="46"/>
      <c r="AS37" s="46"/>
      <c r="AT37" s="123"/>
      <c r="AU37" s="46"/>
      <c r="AV37" s="46"/>
      <c r="AW37" s="123"/>
      <c r="AX37" s="46"/>
      <c r="AY37" s="46"/>
      <c r="AZ37" s="123"/>
      <c r="BA37" s="46"/>
      <c r="BB37" s="46"/>
      <c r="BC37" s="123"/>
      <c r="BD37" s="46"/>
      <c r="BE37" s="46"/>
      <c r="BF37" s="123"/>
      <c r="BG37" s="46"/>
      <c r="BH37" s="46"/>
      <c r="BI37" s="123"/>
      <c r="BJ37" s="46"/>
      <c r="BK37" s="46"/>
      <c r="BL37" s="123"/>
      <c r="BM37" s="46"/>
      <c r="BN37" s="46"/>
    </row>
    <row r="38" spans="1:66" ht="16.2" customHeight="1">
      <c r="A38" s="380">
        <f t="shared" si="6"/>
        <v>37</v>
      </c>
      <c r="B38" s="438"/>
      <c r="C38" s="439" t="str">
        <f>C_BS!C40</f>
        <v>장기차입금</v>
      </c>
      <c r="D38" s="428" t="str">
        <f>C_BS!D40</f>
        <v>Long-Term Borrowings</v>
      </c>
      <c r="E38" s="423">
        <v>12000</v>
      </c>
      <c r="F38" s="423">
        <v>9600</v>
      </c>
      <c r="G38" s="505">
        <f t="shared" si="8"/>
        <v>-0.19999999999999996</v>
      </c>
      <c r="H38" s="423">
        <v>0</v>
      </c>
      <c r="I38" s="505">
        <f t="shared" si="1"/>
        <v>-1</v>
      </c>
      <c r="J38" s="423">
        <v>0</v>
      </c>
      <c r="K38" s="505">
        <f t="shared" si="2"/>
        <v>0</v>
      </c>
      <c r="L38" s="423">
        <v>35000</v>
      </c>
      <c r="M38" s="505">
        <f t="shared" si="3"/>
        <v>0</v>
      </c>
      <c r="N38" s="423">
        <v>64400</v>
      </c>
      <c r="O38" s="505">
        <f t="shared" si="4"/>
        <v>0.84000000000000008</v>
      </c>
      <c r="P38" s="423">
        <v>62000</v>
      </c>
      <c r="Q38" s="505">
        <f t="shared" si="4"/>
        <v>-3.7267080745341574E-2</v>
      </c>
      <c r="R38" s="423">
        <v>11512.1168</v>
      </c>
      <c r="S38" s="505">
        <f t="shared" si="5"/>
        <v>-0.81432069677419361</v>
      </c>
      <c r="T38" s="423">
        <f>C_BS!CL40</f>
        <v>62775</v>
      </c>
      <c r="U38" s="505">
        <f>C_BS!CN40</f>
        <v>4.4529502341393901</v>
      </c>
      <c r="V38" s="124"/>
      <c r="W38" s="46"/>
      <c r="X38" s="46"/>
      <c r="Y38" s="124"/>
      <c r="Z38" s="46"/>
      <c r="AA38" s="46"/>
      <c r="AB38" s="124"/>
      <c r="AC38" s="46"/>
      <c r="AD38" s="46"/>
      <c r="AE38" s="124"/>
      <c r="AF38" s="46"/>
      <c r="AG38" s="46"/>
      <c r="AH38" s="124"/>
      <c r="AI38" s="46"/>
      <c r="AJ38" s="46"/>
      <c r="AK38" s="124"/>
      <c r="AL38" s="46"/>
      <c r="AM38" s="46"/>
      <c r="AN38" s="124"/>
      <c r="AO38" s="46"/>
      <c r="AP38" s="46"/>
      <c r="AQ38" s="124"/>
      <c r="AR38" s="46"/>
      <c r="AS38" s="46"/>
      <c r="AT38" s="124"/>
      <c r="AU38" s="46"/>
      <c r="AV38" s="46"/>
      <c r="AW38" s="124"/>
      <c r="AX38" s="46"/>
      <c r="AY38" s="46"/>
      <c r="AZ38" s="124"/>
      <c r="BA38" s="46"/>
      <c r="BB38" s="46"/>
      <c r="BC38" s="124"/>
      <c r="BD38" s="46"/>
      <c r="BE38" s="46"/>
      <c r="BF38" s="124"/>
      <c r="BG38" s="46"/>
      <c r="BH38" s="46"/>
      <c r="BI38" s="124"/>
      <c r="BJ38" s="46"/>
      <c r="BK38" s="46"/>
      <c r="BL38" s="124"/>
      <c r="BM38" s="46"/>
      <c r="BN38" s="46"/>
    </row>
    <row r="39" spans="1:66" ht="16.2" customHeight="1">
      <c r="A39" s="380">
        <f t="shared" si="6"/>
        <v>38</v>
      </c>
      <c r="B39" s="438"/>
      <c r="C39" s="439" t="str">
        <f>C_BS!C41</f>
        <v>기타비유동금융부채</v>
      </c>
      <c r="D39" s="428" t="str">
        <f>C_BS!D41</f>
        <v>Other Non-Current Financial Liabilities</v>
      </c>
      <c r="E39" s="423">
        <v>198</v>
      </c>
      <c r="F39" s="423">
        <v>208</v>
      </c>
      <c r="G39" s="505">
        <f t="shared" si="8"/>
        <v>5.0505050505050608E-2</v>
      </c>
      <c r="H39" s="423">
        <v>148</v>
      </c>
      <c r="I39" s="505">
        <f t="shared" si="1"/>
        <v>-0.28846153846153844</v>
      </c>
      <c r="J39" s="423">
        <v>148</v>
      </c>
      <c r="K39" s="505">
        <f t="shared" si="2"/>
        <v>0</v>
      </c>
      <c r="L39" s="423">
        <v>178</v>
      </c>
      <c r="M39" s="505">
        <f t="shared" si="3"/>
        <v>0.20270270270270263</v>
      </c>
      <c r="N39" s="423">
        <v>690.71199999999999</v>
      </c>
      <c r="O39" s="505">
        <f t="shared" si="4"/>
        <v>2.8804044943820224</v>
      </c>
      <c r="P39" s="423">
        <v>207.422</v>
      </c>
      <c r="Q39" s="505">
        <f t="shared" si="4"/>
        <v>-0.69969828235212361</v>
      </c>
      <c r="R39" s="423">
        <v>125</v>
      </c>
      <c r="S39" s="505">
        <f t="shared" si="5"/>
        <v>-0.39736382833064954</v>
      </c>
      <c r="T39" s="423">
        <f>C_BS!CL41</f>
        <v>250</v>
      </c>
      <c r="U39" s="505">
        <f>C_BS!CN41</f>
        <v>1</v>
      </c>
      <c r="V39" s="124"/>
      <c r="W39" s="46"/>
      <c r="X39" s="46"/>
      <c r="Y39" s="124"/>
      <c r="Z39" s="46"/>
      <c r="AA39" s="46"/>
      <c r="AB39" s="124"/>
      <c r="AC39" s="46"/>
      <c r="AD39" s="46"/>
      <c r="AE39" s="124"/>
      <c r="AF39" s="46"/>
      <c r="AG39" s="46"/>
      <c r="AH39" s="124"/>
      <c r="AI39" s="46"/>
      <c r="AJ39" s="46"/>
      <c r="AK39" s="124"/>
      <c r="AL39" s="46"/>
      <c r="AM39" s="46"/>
      <c r="AN39" s="124"/>
      <c r="AO39" s="46"/>
      <c r="AP39" s="46"/>
      <c r="AQ39" s="124"/>
      <c r="AR39" s="46"/>
      <c r="AS39" s="46"/>
      <c r="AT39" s="124"/>
      <c r="AU39" s="46"/>
      <c r="AV39" s="46"/>
      <c r="AW39" s="124"/>
      <c r="AX39" s="46"/>
      <c r="AY39" s="46"/>
      <c r="AZ39" s="124"/>
      <c r="BA39" s="46"/>
      <c r="BB39" s="46"/>
      <c r="BC39" s="124"/>
      <c r="BD39" s="46"/>
      <c r="BE39" s="46"/>
      <c r="BF39" s="124"/>
      <c r="BG39" s="46"/>
      <c r="BH39" s="46"/>
      <c r="BI39" s="124"/>
      <c r="BJ39" s="46"/>
      <c r="BK39" s="46"/>
      <c r="BL39" s="124"/>
      <c r="BM39" s="46"/>
      <c r="BN39" s="46"/>
    </row>
    <row r="40" spans="1:66" ht="16.2" customHeight="1">
      <c r="A40" s="380">
        <f t="shared" si="6"/>
        <v>39</v>
      </c>
      <c r="B40" s="438"/>
      <c r="C40" s="439" t="str">
        <f>C_BS!C42</f>
        <v>비유동리스부채</v>
      </c>
      <c r="D40" s="428" t="str">
        <f>C_BS!D42</f>
        <v>Non-Current Lease Liabilities</v>
      </c>
      <c r="E40" s="423">
        <v>0</v>
      </c>
      <c r="F40" s="423"/>
      <c r="G40" s="505">
        <f t="shared" si="8"/>
        <v>0</v>
      </c>
      <c r="H40" s="423">
        <v>79.135993999999997</v>
      </c>
      <c r="I40" s="505">
        <f t="shared" si="1"/>
        <v>0</v>
      </c>
      <c r="J40" s="423">
        <v>171.55417399999999</v>
      </c>
      <c r="K40" s="505">
        <f t="shared" si="2"/>
        <v>1.1678400096926818</v>
      </c>
      <c r="L40" s="423">
        <v>291.45045699999997</v>
      </c>
      <c r="M40" s="505">
        <f t="shared" si="3"/>
        <v>0.69888292546003572</v>
      </c>
      <c r="N40" s="423">
        <v>541.31383700000004</v>
      </c>
      <c r="O40" s="505">
        <f t="shared" si="4"/>
        <v>0.85730996126041448</v>
      </c>
      <c r="P40" s="423">
        <v>488.71345300000002</v>
      </c>
      <c r="Q40" s="505">
        <f t="shared" si="4"/>
        <v>-9.7171696721286671E-2</v>
      </c>
      <c r="R40" s="423">
        <v>247.87149600000001</v>
      </c>
      <c r="S40" s="505">
        <f t="shared" si="5"/>
        <v>-0.49280811797092072</v>
      </c>
      <c r="T40" s="423">
        <f>C_BS!CL42</f>
        <v>45</v>
      </c>
      <c r="U40" s="505">
        <f>C_BS!CN42</f>
        <v>-0.81845431715149686</v>
      </c>
      <c r="V40" s="124"/>
      <c r="W40" s="46"/>
      <c r="X40" s="46"/>
      <c r="Y40" s="124"/>
      <c r="Z40" s="46"/>
      <c r="AA40" s="46"/>
      <c r="AB40" s="124"/>
      <c r="AC40" s="46"/>
      <c r="AD40" s="46"/>
      <c r="AE40" s="124"/>
      <c r="AF40" s="46"/>
      <c r="AG40" s="46"/>
      <c r="AH40" s="124"/>
      <c r="AI40" s="46"/>
      <c r="AJ40" s="46"/>
      <c r="AK40" s="124"/>
      <c r="AL40" s="46"/>
      <c r="AM40" s="46"/>
      <c r="AN40" s="124"/>
      <c r="AO40" s="46"/>
      <c r="AP40" s="46"/>
      <c r="AQ40" s="124"/>
      <c r="AR40" s="46"/>
      <c r="AS40" s="46"/>
      <c r="AT40" s="124"/>
      <c r="AU40" s="46"/>
      <c r="AV40" s="46"/>
      <c r="AW40" s="124"/>
      <c r="AX40" s="46"/>
      <c r="AY40" s="46"/>
      <c r="AZ40" s="124"/>
      <c r="BA40" s="46"/>
      <c r="BB40" s="46"/>
      <c r="BC40" s="124"/>
      <c r="BD40" s="46"/>
      <c r="BE40" s="46"/>
      <c r="BF40" s="124"/>
      <c r="BG40" s="46"/>
      <c r="BH40" s="46"/>
      <c r="BI40" s="124"/>
      <c r="BJ40" s="46"/>
      <c r="BK40" s="46"/>
      <c r="BL40" s="124"/>
      <c r="BM40" s="46"/>
      <c r="BN40" s="46"/>
    </row>
    <row r="41" spans="1:66" ht="16.2" customHeight="1">
      <c r="A41" s="380">
        <f t="shared" si="6"/>
        <v>40</v>
      </c>
      <c r="B41" s="438"/>
      <c r="C41" s="439" t="str">
        <f>C_BS!C43</f>
        <v>파생상품부채(비유동)</v>
      </c>
      <c r="D41" s="428" t="str">
        <f>C_BS!D43</f>
        <v>Non-Current derivative liabilities</v>
      </c>
      <c r="E41" s="423">
        <v>1457.9986610000001</v>
      </c>
      <c r="F41" s="423">
        <v>1.204013</v>
      </c>
      <c r="G41" s="505">
        <f t="shared" si="8"/>
        <v>-0.99917420157356374</v>
      </c>
      <c r="H41" s="423">
        <v>26.711622999999999</v>
      </c>
      <c r="I41" s="505">
        <f t="shared" si="1"/>
        <v>21.185493844335568</v>
      </c>
      <c r="J41" s="423">
        <v>0</v>
      </c>
      <c r="K41" s="505">
        <f t="shared" si="2"/>
        <v>-1</v>
      </c>
      <c r="L41" s="423">
        <v>0</v>
      </c>
      <c r="M41" s="505">
        <f t="shared" si="3"/>
        <v>0</v>
      </c>
      <c r="N41" s="423">
        <v>0</v>
      </c>
      <c r="O41" s="505">
        <f t="shared" si="4"/>
        <v>0</v>
      </c>
      <c r="P41" s="423">
        <v>0</v>
      </c>
      <c r="Q41" s="505">
        <f t="shared" si="4"/>
        <v>0</v>
      </c>
      <c r="R41" s="423">
        <v>1169.0989179999999</v>
      </c>
      <c r="S41" s="505">
        <f t="shared" si="5"/>
        <v>0</v>
      </c>
      <c r="T41" s="423">
        <f>C_BS!CL43</f>
        <v>0</v>
      </c>
      <c r="U41" s="505">
        <f>C_BS!CN43</f>
        <v>-1</v>
      </c>
      <c r="V41" s="124"/>
      <c r="W41" s="46"/>
      <c r="X41" s="46"/>
      <c r="Y41" s="124"/>
      <c r="Z41" s="46"/>
      <c r="AA41" s="46"/>
      <c r="AB41" s="124"/>
      <c r="AC41" s="46"/>
      <c r="AD41" s="46"/>
      <c r="AE41" s="124"/>
      <c r="AF41" s="46"/>
      <c r="AG41" s="46"/>
      <c r="AH41" s="124"/>
      <c r="AI41" s="46"/>
      <c r="AJ41" s="46"/>
      <c r="AK41" s="124"/>
      <c r="AL41" s="46"/>
      <c r="AM41" s="46"/>
      <c r="AN41" s="124"/>
      <c r="AO41" s="46"/>
      <c r="AP41" s="46"/>
      <c r="AQ41" s="124"/>
      <c r="AR41" s="46"/>
      <c r="AS41" s="46"/>
      <c r="AT41" s="124"/>
      <c r="AU41" s="46"/>
      <c r="AV41" s="46"/>
      <c r="AW41" s="124"/>
      <c r="AX41" s="46"/>
      <c r="AY41" s="46"/>
      <c r="AZ41" s="124"/>
      <c r="BA41" s="46"/>
      <c r="BB41" s="46"/>
      <c r="BC41" s="124"/>
      <c r="BD41" s="46"/>
      <c r="BE41" s="46"/>
      <c r="BF41" s="124"/>
      <c r="BG41" s="46"/>
      <c r="BH41" s="46"/>
      <c r="BI41" s="124"/>
      <c r="BJ41" s="46"/>
      <c r="BK41" s="46"/>
      <c r="BL41" s="124"/>
      <c r="BM41" s="46"/>
      <c r="BN41" s="46"/>
    </row>
    <row r="42" spans="1:66" ht="16.2" customHeight="1">
      <c r="A42" s="380">
        <f t="shared" si="6"/>
        <v>41</v>
      </c>
      <c r="B42" s="438"/>
      <c r="C42" s="439" t="str">
        <f>C_BS!C44</f>
        <v>이연법인세부채</v>
      </c>
      <c r="D42" s="428" t="str">
        <f>C_BS!D44</f>
        <v>Deferred Income Tax Liabilities</v>
      </c>
      <c r="E42" s="423">
        <v>0</v>
      </c>
      <c r="F42" s="423"/>
      <c r="G42" s="505">
        <f t="shared" si="8"/>
        <v>0</v>
      </c>
      <c r="H42" s="423">
        <v>0</v>
      </c>
      <c r="I42" s="505">
        <f t="shared" si="1"/>
        <v>0</v>
      </c>
      <c r="J42" s="423">
        <v>0</v>
      </c>
      <c r="K42" s="505">
        <f t="shared" si="2"/>
        <v>0</v>
      </c>
      <c r="L42" s="423">
        <v>372.2851</v>
      </c>
      <c r="M42" s="505">
        <f t="shared" si="3"/>
        <v>0</v>
      </c>
      <c r="N42" s="423" t="s">
        <v>113</v>
      </c>
      <c r="O42" s="505">
        <f t="shared" si="4"/>
        <v>0</v>
      </c>
      <c r="P42" s="423">
        <v>0</v>
      </c>
      <c r="Q42" s="505">
        <f t="shared" si="4"/>
        <v>0</v>
      </c>
      <c r="R42" s="423">
        <v>13777.155554000001</v>
      </c>
      <c r="S42" s="505">
        <f t="shared" si="5"/>
        <v>0</v>
      </c>
      <c r="T42" s="423">
        <f>C_BS!CL44</f>
        <v>9701.41</v>
      </c>
      <c r="U42" s="505">
        <f>C_BS!CN44</f>
        <v>-0.29583360208317211</v>
      </c>
      <c r="V42" s="124"/>
      <c r="W42" s="46"/>
      <c r="X42" s="46"/>
      <c r="Y42" s="124"/>
      <c r="Z42" s="46"/>
      <c r="AA42" s="46"/>
      <c r="AB42" s="124"/>
      <c r="AC42" s="46"/>
      <c r="AD42" s="46"/>
      <c r="AE42" s="124"/>
      <c r="AF42" s="46"/>
      <c r="AG42" s="46"/>
      <c r="AH42" s="124"/>
      <c r="AI42" s="46"/>
      <c r="AJ42" s="46"/>
      <c r="AK42" s="124"/>
      <c r="AL42" s="46"/>
      <c r="AM42" s="46"/>
      <c r="AN42" s="124"/>
      <c r="AO42" s="46"/>
      <c r="AP42" s="46"/>
      <c r="AQ42" s="124"/>
      <c r="AR42" s="46"/>
      <c r="AS42" s="46"/>
      <c r="AT42" s="124"/>
      <c r="AU42" s="46"/>
      <c r="AV42" s="46"/>
      <c r="AW42" s="124"/>
      <c r="AX42" s="46"/>
      <c r="AY42" s="46"/>
      <c r="AZ42" s="124"/>
      <c r="BA42" s="46"/>
      <c r="BB42" s="46"/>
      <c r="BC42" s="124"/>
      <c r="BD42" s="46"/>
      <c r="BE42" s="46"/>
      <c r="BF42" s="124"/>
      <c r="BG42" s="46"/>
      <c r="BH42" s="46"/>
      <c r="BI42" s="124"/>
      <c r="BJ42" s="46"/>
      <c r="BK42" s="46"/>
      <c r="BL42" s="124"/>
      <c r="BM42" s="46"/>
      <c r="BN42" s="46"/>
    </row>
    <row r="43" spans="1:66" s="14" customFormat="1" ht="16.2" customHeight="1">
      <c r="A43" s="380">
        <f t="shared" si="6"/>
        <v>42</v>
      </c>
      <c r="B43" s="434" t="str">
        <f>C_BS!B46</f>
        <v>자본</v>
      </c>
      <c r="C43" s="435"/>
      <c r="D43" s="426" t="str">
        <f>C_BS!D46</f>
        <v>Total Equity</v>
      </c>
      <c r="E43" s="421">
        <f>E50+E44</f>
        <v>35091.959739999998</v>
      </c>
      <c r="F43" s="421">
        <v>51043.024111000006</v>
      </c>
      <c r="G43" s="503">
        <f t="shared" si="8"/>
        <v>0.45455040098025634</v>
      </c>
      <c r="H43" s="421">
        <v>87916.575572000002</v>
      </c>
      <c r="I43" s="503">
        <f t="shared" si="1"/>
        <v>0.72240138791176323</v>
      </c>
      <c r="J43" s="421">
        <v>123756.87964500001</v>
      </c>
      <c r="K43" s="503">
        <f t="shared" si="2"/>
        <v>0.40766264882153314</v>
      </c>
      <c r="L43" s="421">
        <v>163744.43135199999</v>
      </c>
      <c r="M43" s="503">
        <f t="shared" si="3"/>
        <v>0.32311376807257397</v>
      </c>
      <c r="N43" s="421">
        <v>229553.85716000001</v>
      </c>
      <c r="O43" s="503">
        <f t="shared" si="4"/>
        <v>0.40190329078446685</v>
      </c>
      <c r="P43" s="421">
        <v>283500.499663</v>
      </c>
      <c r="Q43" s="503">
        <f t="shared" si="4"/>
        <v>0.23500647373308547</v>
      </c>
      <c r="R43" s="421">
        <v>452643.914758</v>
      </c>
      <c r="S43" s="503">
        <f t="shared" si="5"/>
        <v>0.59662475126520964</v>
      </c>
      <c r="T43" s="421">
        <f>C_BS!CL46</f>
        <v>551674.24399999995</v>
      </c>
      <c r="U43" s="503">
        <f>C_BS!CN46</f>
        <v>0.21878197411522748</v>
      </c>
      <c r="V43" s="123"/>
      <c r="W43" s="46"/>
      <c r="X43" s="46"/>
      <c r="Y43" s="123"/>
      <c r="Z43" s="46"/>
      <c r="AA43" s="46"/>
      <c r="AB43" s="123"/>
      <c r="AC43" s="46"/>
      <c r="AD43" s="46"/>
      <c r="AE43" s="123"/>
      <c r="AF43" s="46"/>
      <c r="AG43" s="46"/>
      <c r="AH43" s="123"/>
      <c r="AI43" s="46"/>
      <c r="AJ43" s="46"/>
      <c r="AK43" s="123"/>
      <c r="AL43" s="46"/>
      <c r="AM43" s="46"/>
      <c r="AN43" s="123"/>
      <c r="AO43" s="46"/>
      <c r="AP43" s="46"/>
      <c r="AQ43" s="123"/>
      <c r="AR43" s="46"/>
      <c r="AS43" s="46"/>
      <c r="AT43" s="123"/>
      <c r="AU43" s="46"/>
      <c r="AV43" s="46"/>
      <c r="AW43" s="123"/>
      <c r="AX43" s="46"/>
      <c r="AY43" s="46"/>
      <c r="AZ43" s="123"/>
      <c r="BA43" s="46"/>
      <c r="BB43" s="46"/>
      <c r="BC43" s="123"/>
      <c r="BD43" s="46"/>
      <c r="BE43" s="46"/>
      <c r="BF43" s="123"/>
      <c r="BG43" s="46"/>
      <c r="BH43" s="46"/>
      <c r="BI43" s="123"/>
      <c r="BJ43" s="46"/>
      <c r="BK43" s="46"/>
      <c r="BL43" s="123"/>
      <c r="BM43" s="46"/>
      <c r="BN43" s="46"/>
    </row>
    <row r="44" spans="1:66" s="14" customFormat="1" ht="16.2" customHeight="1">
      <c r="A44" s="380">
        <f t="shared" si="6"/>
        <v>43</v>
      </c>
      <c r="B44" s="436" t="str">
        <f>C_BS!B47</f>
        <v>　지배기업소유주지분</v>
      </c>
      <c r="C44" s="437"/>
      <c r="D44" s="430" t="str">
        <f>C_BS!D47</f>
        <v>Equity Attributable to Owners of the Parent Company</v>
      </c>
      <c r="E44" s="422">
        <f>SUM(E45:E49)</f>
        <v>35091.959739999998</v>
      </c>
      <c r="F44" s="422">
        <v>51043.024111000006</v>
      </c>
      <c r="G44" s="504">
        <f t="shared" si="8"/>
        <v>0.45455040098025634</v>
      </c>
      <c r="H44" s="422">
        <v>87916.575572000002</v>
      </c>
      <c r="I44" s="504">
        <f t="shared" si="1"/>
        <v>0.72240138791176323</v>
      </c>
      <c r="J44" s="422">
        <v>123756.87964500001</v>
      </c>
      <c r="K44" s="504">
        <f t="shared" si="2"/>
        <v>0.40766264882153314</v>
      </c>
      <c r="L44" s="422">
        <v>163744.43135199999</v>
      </c>
      <c r="M44" s="504">
        <f t="shared" si="3"/>
        <v>0.32311376807257397</v>
      </c>
      <c r="N44" s="422">
        <v>229553.85716000001</v>
      </c>
      <c r="O44" s="504">
        <f t="shared" si="4"/>
        <v>0.40190329078446685</v>
      </c>
      <c r="P44" s="422">
        <v>283500.499663</v>
      </c>
      <c r="Q44" s="504">
        <f t="shared" si="4"/>
        <v>0.23500647373308547</v>
      </c>
      <c r="R44" s="422">
        <v>453964.808472</v>
      </c>
      <c r="S44" s="504">
        <f t="shared" si="5"/>
        <v>0.60128398013983286</v>
      </c>
      <c r="T44" s="422">
        <f>C_BS!CL47</f>
        <v>552973.64399999997</v>
      </c>
      <c r="U44" s="504">
        <f>C_BS!CN47</f>
        <v>0.21809804125842658</v>
      </c>
      <c r="V44" s="123"/>
      <c r="W44" s="46"/>
      <c r="X44" s="46"/>
      <c r="Y44" s="123"/>
      <c r="Z44" s="46"/>
      <c r="AA44" s="46"/>
      <c r="AB44" s="123"/>
      <c r="AC44" s="46"/>
      <c r="AD44" s="46"/>
      <c r="AE44" s="123"/>
      <c r="AF44" s="46"/>
      <c r="AG44" s="46"/>
      <c r="AH44" s="123"/>
      <c r="AI44" s="46"/>
      <c r="AJ44" s="46"/>
      <c r="AK44" s="123"/>
      <c r="AL44" s="46"/>
      <c r="AM44" s="46"/>
      <c r="AN44" s="123"/>
      <c r="AO44" s="46"/>
      <c r="AP44" s="46"/>
      <c r="AQ44" s="123"/>
      <c r="AR44" s="46"/>
      <c r="AS44" s="46"/>
      <c r="AT44" s="123"/>
      <c r="AU44" s="46"/>
      <c r="AV44" s="46"/>
      <c r="AW44" s="123"/>
      <c r="AX44" s="46"/>
      <c r="AY44" s="46"/>
      <c r="AZ44" s="123"/>
      <c r="BA44" s="46"/>
      <c r="BB44" s="46"/>
      <c r="BC44" s="123"/>
      <c r="BD44" s="46"/>
      <c r="BE44" s="46"/>
      <c r="BF44" s="123"/>
      <c r="BG44" s="46"/>
      <c r="BH44" s="46"/>
      <c r="BI44" s="123"/>
      <c r="BJ44" s="46"/>
      <c r="BK44" s="46"/>
      <c r="BL44" s="123"/>
      <c r="BM44" s="46"/>
      <c r="BN44" s="46"/>
    </row>
    <row r="45" spans="1:66" ht="16.2" customHeight="1">
      <c r="A45" s="380">
        <f t="shared" si="6"/>
        <v>44</v>
      </c>
      <c r="B45" s="438"/>
      <c r="C45" s="439" t="str">
        <f>C_BS!C48</f>
        <v>자본금</v>
      </c>
      <c r="D45" s="428" t="str">
        <f>C_BS!D48</f>
        <v>Issued Capital</v>
      </c>
      <c r="E45" s="423">
        <v>6047.3077000000003</v>
      </c>
      <c r="F45" s="423">
        <v>6197.3077000000003</v>
      </c>
      <c r="G45" s="505">
        <f t="shared" si="8"/>
        <v>2.4804426604586371E-2</v>
      </c>
      <c r="H45" s="423">
        <v>6436.4380000000001</v>
      </c>
      <c r="I45" s="505">
        <f t="shared" si="1"/>
        <v>3.8586158954153627E-2</v>
      </c>
      <c r="J45" s="423">
        <v>6470.9168</v>
      </c>
      <c r="K45" s="505">
        <f t="shared" si="2"/>
        <v>5.3568138153432532E-3</v>
      </c>
      <c r="L45" s="423">
        <v>6471.6863999999996</v>
      </c>
      <c r="M45" s="505">
        <f t="shared" si="3"/>
        <v>1.18932142660233E-4</v>
      </c>
      <c r="N45" s="423">
        <v>6477.6701999999996</v>
      </c>
      <c r="O45" s="505">
        <f t="shared" si="4"/>
        <v>9.246121690940079E-4</v>
      </c>
      <c r="P45" s="423">
        <v>6477.6701999999996</v>
      </c>
      <c r="Q45" s="505">
        <f t="shared" si="4"/>
        <v>0</v>
      </c>
      <c r="R45" s="423">
        <v>6628.2842000000001</v>
      </c>
      <c r="S45" s="505">
        <f t="shared" si="5"/>
        <v>2.3251260924028072E-2</v>
      </c>
      <c r="T45" s="423">
        <f>C_BS!CL48</f>
        <v>6628.3</v>
      </c>
      <c r="U45" s="505">
        <f>C_BS!CN48</f>
        <v>2.3837239808699451E-6</v>
      </c>
      <c r="V45" s="124"/>
      <c r="W45" s="46"/>
      <c r="X45" s="46"/>
      <c r="Y45" s="124"/>
      <c r="Z45" s="46"/>
      <c r="AA45" s="46"/>
      <c r="AB45" s="124"/>
      <c r="AC45" s="46"/>
      <c r="AD45" s="46"/>
      <c r="AE45" s="124"/>
      <c r="AF45" s="46"/>
      <c r="AG45" s="46"/>
      <c r="AH45" s="124"/>
      <c r="AI45" s="46"/>
      <c r="AJ45" s="46"/>
      <c r="AK45" s="124"/>
      <c r="AL45" s="46"/>
      <c r="AM45" s="46"/>
      <c r="AN45" s="124"/>
      <c r="AO45" s="46"/>
      <c r="AP45" s="46"/>
      <c r="AQ45" s="124"/>
      <c r="AR45" s="46"/>
      <c r="AS45" s="46"/>
      <c r="AT45" s="124"/>
      <c r="AU45" s="46"/>
      <c r="AV45" s="46"/>
      <c r="AW45" s="124"/>
      <c r="AX45" s="46"/>
      <c r="AY45" s="46"/>
      <c r="AZ45" s="124"/>
      <c r="BA45" s="46"/>
      <c r="BB45" s="46"/>
      <c r="BC45" s="124"/>
      <c r="BD45" s="46"/>
      <c r="BE45" s="46"/>
      <c r="BF45" s="124"/>
      <c r="BG45" s="46"/>
      <c r="BH45" s="46"/>
      <c r="BI45" s="124"/>
      <c r="BJ45" s="46"/>
      <c r="BK45" s="46"/>
      <c r="BL45" s="124"/>
      <c r="BM45" s="46"/>
      <c r="BN45" s="46"/>
    </row>
    <row r="46" spans="1:66" ht="16.2" customHeight="1">
      <c r="A46" s="380">
        <f t="shared" si="6"/>
        <v>45</v>
      </c>
      <c r="B46" s="438"/>
      <c r="C46" s="439" t="str">
        <f>C_BS!C49</f>
        <v>자본잉여금</v>
      </c>
      <c r="D46" s="428" t="str">
        <f>C_BS!D49</f>
        <v>Capital Surplus</v>
      </c>
      <c r="E46" s="423">
        <v>17858.287918999999</v>
      </c>
      <c r="F46" s="423">
        <v>19185.934646000002</v>
      </c>
      <c r="G46" s="505">
        <f t="shared" si="8"/>
        <v>7.434344955248906E-2</v>
      </c>
      <c r="H46" s="423">
        <v>23487.973190000001</v>
      </c>
      <c r="I46" s="505">
        <f t="shared" si="1"/>
        <v>0.22422877088747484</v>
      </c>
      <c r="J46" s="423">
        <v>24108.258978000002</v>
      </c>
      <c r="K46" s="505">
        <f t="shared" si="2"/>
        <v>2.6408655314034801E-2</v>
      </c>
      <c r="L46" s="423">
        <v>24122.104353999999</v>
      </c>
      <c r="M46" s="505">
        <f t="shared" si="3"/>
        <v>5.74300119001947E-4</v>
      </c>
      <c r="N46" s="423">
        <v>24229.755029</v>
      </c>
      <c r="O46" s="505">
        <f t="shared" si="4"/>
        <v>4.4627397933525437E-3</v>
      </c>
      <c r="P46" s="423">
        <v>24229.755029</v>
      </c>
      <c r="Q46" s="505">
        <f t="shared" si="4"/>
        <v>0</v>
      </c>
      <c r="R46" s="423">
        <v>106314.385029</v>
      </c>
      <c r="S46" s="505">
        <f t="shared" si="5"/>
        <v>3.3877614487540182</v>
      </c>
      <c r="T46" s="423">
        <f>C_BS!CL49</f>
        <v>9942.5</v>
      </c>
      <c r="U46" s="505">
        <f>C_BS!CN49</f>
        <v>-0.90648020023548148</v>
      </c>
      <c r="V46" s="124"/>
      <c r="W46" s="46"/>
      <c r="X46" s="46"/>
      <c r="Y46" s="124"/>
      <c r="Z46" s="46"/>
      <c r="AA46" s="46"/>
      <c r="AB46" s="124"/>
      <c r="AC46" s="46"/>
      <c r="AD46" s="46"/>
      <c r="AE46" s="124"/>
      <c r="AF46" s="46"/>
      <c r="AG46" s="46"/>
      <c r="AH46" s="124"/>
      <c r="AI46" s="46"/>
      <c r="AJ46" s="46"/>
      <c r="AK46" s="124"/>
      <c r="AL46" s="46"/>
      <c r="AM46" s="46"/>
      <c r="AN46" s="124"/>
      <c r="AO46" s="46"/>
      <c r="AP46" s="46"/>
      <c r="AQ46" s="124"/>
      <c r="AR46" s="46"/>
      <c r="AS46" s="46"/>
      <c r="AT46" s="124"/>
      <c r="AU46" s="46"/>
      <c r="AV46" s="46"/>
      <c r="AW46" s="124"/>
      <c r="AX46" s="46"/>
      <c r="AY46" s="46"/>
      <c r="AZ46" s="124"/>
      <c r="BA46" s="46"/>
      <c r="BB46" s="46"/>
      <c r="BC46" s="124"/>
      <c r="BD46" s="46"/>
      <c r="BE46" s="46"/>
      <c r="BF46" s="124"/>
      <c r="BG46" s="46"/>
      <c r="BH46" s="46"/>
      <c r="BI46" s="124"/>
      <c r="BJ46" s="46"/>
      <c r="BK46" s="46"/>
      <c r="BL46" s="124"/>
      <c r="BM46" s="46"/>
      <c r="BN46" s="46"/>
    </row>
    <row r="47" spans="1:66" ht="16.2" customHeight="1">
      <c r="A47" s="380">
        <f t="shared" si="6"/>
        <v>46</v>
      </c>
      <c r="B47" s="438"/>
      <c r="C47" s="439" t="str">
        <f>C_BS!C50</f>
        <v>자본조정</v>
      </c>
      <c r="D47" s="428" t="str">
        <f>C_BS!D50</f>
        <v>Capital Adjustments</v>
      </c>
      <c r="E47" s="423">
        <v>109.315252</v>
      </c>
      <c r="F47" s="423">
        <v>213.68881300000001</v>
      </c>
      <c r="G47" s="505">
        <f t="shared" si="8"/>
        <v>0.95479413064885033</v>
      </c>
      <c r="H47" s="423">
        <v>33.000321</v>
      </c>
      <c r="I47" s="505">
        <f t="shared" si="1"/>
        <v>-0.84556832649915092</v>
      </c>
      <c r="J47" s="423">
        <v>5.4051049999999998</v>
      </c>
      <c r="K47" s="505">
        <f t="shared" si="2"/>
        <v>-0.83621053261875844</v>
      </c>
      <c r="L47" s="423">
        <v>4.7891529999999998</v>
      </c>
      <c r="M47" s="505">
        <f t="shared" si="3"/>
        <v>-0.1139574531854608</v>
      </c>
      <c r="N47" s="423">
        <v>-5421.9760999999999</v>
      </c>
      <c r="O47" s="505">
        <f t="shared" si="4"/>
        <v>-1133.1367473538642</v>
      </c>
      <c r="P47" s="423">
        <v>-18253.885541</v>
      </c>
      <c r="Q47" s="505">
        <f t="shared" si="4"/>
        <v>2.3666481010493574</v>
      </c>
      <c r="R47" s="423">
        <v>4814.6642250000004</v>
      </c>
      <c r="S47" s="505">
        <f t="shared" si="5"/>
        <v>-1.2637610614017381</v>
      </c>
      <c r="T47" s="423">
        <f>C_BS!CL50</f>
        <v>-11307</v>
      </c>
      <c r="U47" s="505">
        <f>C_BS!CN50</f>
        <v>-3.3484503740237459</v>
      </c>
      <c r="V47" s="124"/>
      <c r="W47" s="46"/>
      <c r="X47" s="46"/>
      <c r="Y47" s="124"/>
      <c r="Z47" s="46"/>
      <c r="AA47" s="46"/>
      <c r="AB47" s="124"/>
      <c r="AC47" s="46"/>
      <c r="AD47" s="46"/>
      <c r="AE47" s="124"/>
      <c r="AF47" s="46"/>
      <c r="AG47" s="46"/>
      <c r="AH47" s="124"/>
      <c r="AI47" s="46"/>
      <c r="AJ47" s="46"/>
      <c r="AK47" s="124"/>
      <c r="AL47" s="46"/>
      <c r="AM47" s="46"/>
      <c r="AN47" s="124"/>
      <c r="AO47" s="46"/>
      <c r="AP47" s="46"/>
      <c r="AQ47" s="124"/>
      <c r="AR47" s="46"/>
      <c r="AS47" s="46"/>
      <c r="AT47" s="124"/>
      <c r="AU47" s="46"/>
      <c r="AV47" s="46"/>
      <c r="AW47" s="124"/>
      <c r="AX47" s="46"/>
      <c r="AY47" s="46"/>
      <c r="AZ47" s="124"/>
      <c r="BA47" s="46"/>
      <c r="BB47" s="46"/>
      <c r="BC47" s="124"/>
      <c r="BD47" s="46"/>
      <c r="BE47" s="46"/>
      <c r="BF47" s="124"/>
      <c r="BG47" s="46"/>
      <c r="BH47" s="46"/>
      <c r="BI47" s="124"/>
      <c r="BJ47" s="46"/>
      <c r="BK47" s="46"/>
      <c r="BL47" s="124"/>
      <c r="BM47" s="46"/>
      <c r="BN47" s="46"/>
    </row>
    <row r="48" spans="1:66" ht="16.2" customHeight="1">
      <c r="A48" s="380">
        <f t="shared" si="6"/>
        <v>47</v>
      </c>
      <c r="B48" s="438"/>
      <c r="C48" s="439" t="str">
        <f>C_BS!C51</f>
        <v>기타포괄손익누계액</v>
      </c>
      <c r="D48" s="429" t="str">
        <f>C_BS!D51</f>
        <v xml:space="preserve">Accumulated Other Comprehensive Income </v>
      </c>
      <c r="E48" s="423">
        <v>-14.719715000000001</v>
      </c>
      <c r="F48" s="423">
        <v>-24.396335000000001</v>
      </c>
      <c r="G48" s="505">
        <f t="shared" si="8"/>
        <v>0.65739180412120746</v>
      </c>
      <c r="H48" s="423">
        <v>-37.639963999999999</v>
      </c>
      <c r="I48" s="505">
        <f t="shared" si="1"/>
        <v>0.54285321955121524</v>
      </c>
      <c r="J48" s="423">
        <v>-28.567205999999999</v>
      </c>
      <c r="K48" s="505">
        <f t="shared" si="2"/>
        <v>-0.24104055997503082</v>
      </c>
      <c r="L48" s="423">
        <v>22.859175</v>
      </c>
      <c r="M48" s="505">
        <f t="shared" si="3"/>
        <v>-1.8001893849892077</v>
      </c>
      <c r="N48" s="423">
        <v>38.081536999999997</v>
      </c>
      <c r="O48" s="505">
        <f t="shared" si="4"/>
        <v>0.66591913312707018</v>
      </c>
      <c r="P48" s="423">
        <v>62.881940999999998</v>
      </c>
      <c r="Q48" s="505">
        <f t="shared" si="4"/>
        <v>0.65124482764443048</v>
      </c>
      <c r="R48" s="423">
        <v>148.00737699999999</v>
      </c>
      <c r="S48" s="505">
        <f t="shared" si="5"/>
        <v>1.3537342303094619</v>
      </c>
      <c r="T48" s="423">
        <f>C_BS!CL51</f>
        <v>176.4</v>
      </c>
      <c r="U48" s="505">
        <f>C_BS!CN51</f>
        <v>0.19183248548482834</v>
      </c>
      <c r="V48" s="124"/>
      <c r="W48" s="46"/>
      <c r="X48" s="46"/>
      <c r="Y48" s="124"/>
      <c r="Z48" s="46"/>
      <c r="AA48" s="46"/>
      <c r="AB48" s="124"/>
      <c r="AC48" s="46"/>
      <c r="AD48" s="46"/>
      <c r="AE48" s="124"/>
      <c r="AF48" s="46"/>
      <c r="AG48" s="46"/>
      <c r="AH48" s="124"/>
      <c r="AI48" s="46"/>
      <c r="AJ48" s="46"/>
      <c r="AK48" s="124"/>
      <c r="AL48" s="46"/>
      <c r="AM48" s="46"/>
      <c r="AN48" s="124"/>
      <c r="AO48" s="46"/>
      <c r="AP48" s="46"/>
      <c r="AQ48" s="124"/>
      <c r="AR48" s="46"/>
      <c r="AS48" s="46"/>
      <c r="AT48" s="124"/>
      <c r="AU48" s="46"/>
      <c r="AV48" s="46"/>
      <c r="AW48" s="124"/>
      <c r="AX48" s="46"/>
      <c r="AY48" s="46"/>
      <c r="AZ48" s="124"/>
      <c r="BA48" s="46"/>
      <c r="BB48" s="46"/>
      <c r="BC48" s="124"/>
      <c r="BD48" s="46"/>
      <c r="BE48" s="46"/>
      <c r="BF48" s="124"/>
      <c r="BG48" s="46"/>
      <c r="BH48" s="46"/>
      <c r="BI48" s="124"/>
      <c r="BJ48" s="46"/>
      <c r="BK48" s="46"/>
      <c r="BL48" s="124"/>
      <c r="BM48" s="46"/>
      <c r="BN48" s="46"/>
    </row>
    <row r="49" spans="1:66" ht="16.2" customHeight="1">
      <c r="A49" s="380">
        <f t="shared" si="6"/>
        <v>48</v>
      </c>
      <c r="B49" s="438"/>
      <c r="C49" s="439" t="str">
        <f>C_BS!C52</f>
        <v>이익잉여금</v>
      </c>
      <c r="D49" s="428" t="str">
        <f>C_BS!D52</f>
        <v>Retained Earnings</v>
      </c>
      <c r="E49" s="423">
        <v>11091.768583999999</v>
      </c>
      <c r="F49" s="423">
        <v>25470.489287</v>
      </c>
      <c r="G49" s="505">
        <f t="shared" si="8"/>
        <v>1.2963415702470988</v>
      </c>
      <c r="H49" s="423">
        <v>57996.804024999998</v>
      </c>
      <c r="I49" s="505">
        <f t="shared" si="1"/>
        <v>1.2770196273615069</v>
      </c>
      <c r="J49" s="423">
        <v>93200.865967999998</v>
      </c>
      <c r="K49" s="505">
        <f t="shared" si="2"/>
        <v>0.60700003275740855</v>
      </c>
      <c r="L49" s="423">
        <v>133122.99226999999</v>
      </c>
      <c r="M49" s="505">
        <f t="shared" si="3"/>
        <v>0.42834501468802899</v>
      </c>
      <c r="N49" s="423">
        <v>204230.32649400001</v>
      </c>
      <c r="O49" s="505">
        <f t="shared" si="4"/>
        <v>0.53414765557387822</v>
      </c>
      <c r="P49" s="423">
        <v>270984.07803400001</v>
      </c>
      <c r="Q49" s="505">
        <f t="shared" si="4"/>
        <v>0.32685523587977583</v>
      </c>
      <c r="R49" s="423">
        <v>336059.467641</v>
      </c>
      <c r="S49" s="505">
        <f t="shared" si="5"/>
        <v>0.24014469809121053</v>
      </c>
      <c r="T49" s="423">
        <f>C_BS!CL52</f>
        <v>547533.44400000002</v>
      </c>
      <c r="U49" s="505">
        <f>C_BS!CN52</f>
        <v>0.62927546080894792</v>
      </c>
      <c r="V49" s="124"/>
      <c r="W49" s="46"/>
      <c r="X49" s="46"/>
      <c r="Y49" s="124"/>
      <c r="Z49" s="46"/>
      <c r="AA49" s="46"/>
      <c r="AB49" s="124"/>
      <c r="AC49" s="46"/>
      <c r="AD49" s="46"/>
      <c r="AE49" s="124"/>
      <c r="AF49" s="46"/>
      <c r="AG49" s="46"/>
      <c r="AH49" s="124"/>
      <c r="AI49" s="46"/>
      <c r="AJ49" s="46"/>
      <c r="AK49" s="124"/>
      <c r="AL49" s="46"/>
      <c r="AM49" s="46"/>
      <c r="AN49" s="124"/>
      <c r="AO49" s="46"/>
      <c r="AP49" s="46"/>
      <c r="AQ49" s="124"/>
      <c r="AR49" s="46"/>
      <c r="AS49" s="46"/>
      <c r="AT49" s="124"/>
      <c r="AU49" s="46"/>
      <c r="AV49" s="46"/>
      <c r="AW49" s="124"/>
      <c r="AX49" s="46"/>
      <c r="AY49" s="46"/>
      <c r="AZ49" s="124"/>
      <c r="BA49" s="46"/>
      <c r="BB49" s="46"/>
      <c r="BC49" s="124"/>
      <c r="BD49" s="46"/>
      <c r="BE49" s="46"/>
      <c r="BF49" s="124"/>
      <c r="BG49" s="46"/>
      <c r="BH49" s="46"/>
      <c r="BI49" s="124"/>
      <c r="BJ49" s="46"/>
      <c r="BK49" s="46"/>
      <c r="BL49" s="124"/>
      <c r="BM49" s="46"/>
      <c r="BN49" s="46"/>
    </row>
    <row r="50" spans="1:66" s="14" customFormat="1" ht="16.2" customHeight="1">
      <c r="A50" s="380">
        <f t="shared" si="6"/>
        <v>49</v>
      </c>
      <c r="B50" s="436" t="str">
        <f>C_BS!B53</f>
        <v>　비지배지분</v>
      </c>
      <c r="C50" s="437"/>
      <c r="D50" s="427" t="str">
        <f>C_BS!D53</f>
        <v>Non-Controlling Interests</v>
      </c>
      <c r="E50" s="420">
        <v>0</v>
      </c>
      <c r="F50" s="420">
        <v>0</v>
      </c>
      <c r="G50" s="506">
        <f t="shared" si="8"/>
        <v>0</v>
      </c>
      <c r="H50" s="420">
        <v>0</v>
      </c>
      <c r="I50" s="506">
        <f t="shared" si="1"/>
        <v>0</v>
      </c>
      <c r="J50" s="420">
        <v>0</v>
      </c>
      <c r="K50" s="506">
        <f t="shared" si="2"/>
        <v>0</v>
      </c>
      <c r="L50" s="420">
        <v>0</v>
      </c>
      <c r="M50" s="506">
        <f t="shared" si="3"/>
        <v>0</v>
      </c>
      <c r="N50" s="420">
        <v>0</v>
      </c>
      <c r="O50" s="506">
        <f t="shared" si="4"/>
        <v>0</v>
      </c>
      <c r="P50" s="420">
        <v>0</v>
      </c>
      <c r="Q50" s="506">
        <f t="shared" si="4"/>
        <v>0</v>
      </c>
      <c r="R50" s="420">
        <v>-1320.893714</v>
      </c>
      <c r="S50" s="506">
        <f t="shared" si="5"/>
        <v>0</v>
      </c>
      <c r="T50" s="420">
        <f>C_BS!CL53</f>
        <v>-1299.4000000000001</v>
      </c>
      <c r="U50" s="506">
        <f>C_BS!CN53</f>
        <v>-1.6272099543052199E-2</v>
      </c>
      <c r="V50" s="123"/>
      <c r="W50" s="125"/>
      <c r="X50" s="125"/>
      <c r="Y50" s="123"/>
      <c r="Z50" s="125"/>
      <c r="AA50" s="125"/>
      <c r="AB50" s="123"/>
      <c r="AC50" s="125"/>
      <c r="AD50" s="125"/>
      <c r="AE50" s="123"/>
      <c r="AF50" s="125"/>
      <c r="AG50" s="125"/>
      <c r="AH50" s="123"/>
      <c r="AI50" s="125"/>
      <c r="AJ50" s="125"/>
      <c r="AK50" s="123"/>
      <c r="AL50" s="125"/>
      <c r="AM50" s="125"/>
      <c r="AN50" s="123"/>
      <c r="AO50" s="125"/>
      <c r="AP50" s="125"/>
      <c r="AQ50" s="123"/>
      <c r="AR50" s="125"/>
      <c r="AS50" s="125"/>
      <c r="AT50" s="123"/>
      <c r="AU50" s="125"/>
      <c r="AV50" s="125"/>
      <c r="AW50" s="123"/>
      <c r="AX50" s="125"/>
      <c r="AY50" s="125"/>
      <c r="AZ50" s="123"/>
      <c r="BA50" s="125"/>
      <c r="BB50" s="125"/>
      <c r="BC50" s="123"/>
      <c r="BD50" s="125"/>
      <c r="BE50" s="125"/>
      <c r="BF50" s="123"/>
      <c r="BG50" s="125"/>
      <c r="BH50" s="125"/>
      <c r="BI50" s="123"/>
      <c r="BJ50" s="125"/>
      <c r="BK50" s="125"/>
      <c r="BL50" s="123"/>
      <c r="BM50" s="125"/>
      <c r="BN50" s="125"/>
    </row>
    <row r="51" spans="1:66" s="14" customFormat="1" ht="16.2" customHeight="1">
      <c r="A51" s="380">
        <f t="shared" si="6"/>
        <v>50</v>
      </c>
      <c r="B51" s="440" t="str">
        <f>C_BS!B54</f>
        <v>자본과부채총계</v>
      </c>
      <c r="C51" s="441"/>
      <c r="D51" s="431" t="str">
        <f>C_BS!D54</f>
        <v>Total Liabilities and Equity</v>
      </c>
      <c r="E51" s="424">
        <f>E25+E43</f>
        <v>63161.122771999995</v>
      </c>
      <c r="F51" s="424">
        <v>75677.204371</v>
      </c>
      <c r="G51" s="507">
        <f t="shared" si="8"/>
        <v>0.1981611638567724</v>
      </c>
      <c r="H51" s="424">
        <v>113657.441301</v>
      </c>
      <c r="I51" s="507">
        <f t="shared" si="1"/>
        <v>0.50187156417414225</v>
      </c>
      <c r="J51" s="424">
        <v>137526.11636800002</v>
      </c>
      <c r="K51" s="507">
        <f t="shared" si="2"/>
        <v>0.21000538806595515</v>
      </c>
      <c r="L51" s="424">
        <v>216379.20533599998</v>
      </c>
      <c r="M51" s="507">
        <f t="shared" si="3"/>
        <v>0.57336810673109162</v>
      </c>
      <c r="N51" s="424">
        <v>331411.10829900001</v>
      </c>
      <c r="O51" s="507">
        <f t="shared" si="4"/>
        <v>0.5316218015699572</v>
      </c>
      <c r="P51" s="424">
        <v>375443.02175399999</v>
      </c>
      <c r="Q51" s="507">
        <f t="shared" si="4"/>
        <v>0.13286191184416873</v>
      </c>
      <c r="R51" s="424">
        <v>608378.808831</v>
      </c>
      <c r="S51" s="507">
        <f t="shared" si="5"/>
        <v>0.62042912926911598</v>
      </c>
      <c r="T51" s="424">
        <f>C_BS!CL54</f>
        <v>704649.68099999998</v>
      </c>
      <c r="U51" s="507">
        <f>C_BS!CN54</f>
        <v>0.1582416402234128</v>
      </c>
      <c r="V51" s="123"/>
      <c r="W51" s="46"/>
      <c r="X51" s="46"/>
      <c r="Y51" s="123"/>
      <c r="Z51" s="46"/>
      <c r="AA51" s="46"/>
      <c r="AB51" s="123"/>
      <c r="AC51" s="46"/>
      <c r="AD51" s="46"/>
      <c r="AE51" s="123"/>
      <c r="AF51" s="46"/>
      <c r="AG51" s="46"/>
      <c r="AH51" s="123"/>
      <c r="AI51" s="46"/>
      <c r="AJ51" s="46"/>
      <c r="AK51" s="123"/>
      <c r="AL51" s="46"/>
      <c r="AM51" s="46"/>
      <c r="AN51" s="123"/>
      <c r="AO51" s="46"/>
      <c r="AP51" s="46"/>
      <c r="AQ51" s="123"/>
      <c r="AR51" s="46"/>
      <c r="AS51" s="46"/>
      <c r="AT51" s="123"/>
      <c r="AU51" s="46"/>
      <c r="AV51" s="46"/>
      <c r="AW51" s="123"/>
      <c r="AX51" s="46"/>
      <c r="AY51" s="46"/>
      <c r="AZ51" s="123"/>
      <c r="BA51" s="46"/>
      <c r="BB51" s="46"/>
      <c r="BC51" s="123"/>
      <c r="BD51" s="46"/>
      <c r="BE51" s="46"/>
      <c r="BF51" s="123"/>
      <c r="BG51" s="46"/>
      <c r="BH51" s="46"/>
      <c r="BI51" s="123"/>
      <c r="BJ51" s="46"/>
      <c r="BK51" s="46"/>
      <c r="BL51" s="123"/>
      <c r="BM51" s="46"/>
      <c r="BN51" s="46"/>
    </row>
    <row r="52" spans="1:66" ht="16.2" customHeight="1">
      <c r="E52" s="274" t="b">
        <f>ROUND(E51,0)=ROUND(E3,0)</f>
        <v>1</v>
      </c>
      <c r="F52" s="274" t="b">
        <f>ROUND(F51,0)=ROUND(F3,0)</f>
        <v>1</v>
      </c>
      <c r="H52" s="274" t="b">
        <f>ROUND(H51,0)=ROUND(H3,0)</f>
        <v>1</v>
      </c>
      <c r="J52" s="274" t="b">
        <f>ROUND(J51,0)=ROUND(J3,0)</f>
        <v>1</v>
      </c>
      <c r="L52" s="274" t="b">
        <f>ROUND(L51,0)=ROUND(L3,0)</f>
        <v>1</v>
      </c>
      <c r="N52" s="274" t="b">
        <f>ROUND(N51,0)=ROUND(N3,0)</f>
        <v>1</v>
      </c>
      <c r="P52" s="274" t="b">
        <f>ROUND(P51,0)=ROUND(P3,0)</f>
        <v>1</v>
      </c>
      <c r="R52" s="274" t="b">
        <f>ROUND(R51,0)=ROUND(R3,0)</f>
        <v>1</v>
      </c>
      <c r="T52" s="274" t="b">
        <f>ROUND(T51,0)=ROUND(T3,0)</f>
        <v>1</v>
      </c>
      <c r="W52" s="7"/>
      <c r="X52" s="7"/>
      <c r="Z52" s="7"/>
      <c r="AA52" s="7"/>
      <c r="AC52" s="7"/>
      <c r="AD52" s="7"/>
      <c r="AF52" s="7"/>
      <c r="AG52" s="7"/>
      <c r="AI52" s="7"/>
      <c r="AJ52" s="7"/>
      <c r="AL52" s="7"/>
      <c r="AM52" s="7"/>
      <c r="AO52" s="7"/>
      <c r="AP52" s="7"/>
      <c r="AR52" s="7"/>
      <c r="AS52" s="7"/>
      <c r="AU52" s="7"/>
      <c r="AV52" s="7"/>
      <c r="AX52" s="7"/>
      <c r="AY52" s="7"/>
      <c r="BA52" s="7"/>
      <c r="BB52" s="7"/>
      <c r="BD52" s="7"/>
      <c r="BE52" s="7"/>
      <c r="BG52" s="7"/>
      <c r="BH52" s="7"/>
      <c r="BJ52" s="7"/>
      <c r="BK52" s="7"/>
      <c r="BM52" s="7"/>
      <c r="BN52" s="7"/>
    </row>
    <row r="53" spans="1:66" ht="16.95" customHeight="1">
      <c r="A53" s="508"/>
    </row>
    <row r="54" spans="1:66" ht="16.2" customHeight="1">
      <c r="C54" s="8" t="str">
        <f>C_BS!C57</f>
        <v>(단위: 백만원)</v>
      </c>
      <c r="D54" s="8" t="str">
        <f>C_BS!D57</f>
        <v>(Unit: Million KRW)</v>
      </c>
      <c r="E54" s="275"/>
      <c r="F54" s="275"/>
      <c r="G54" s="275"/>
      <c r="H54" s="275"/>
      <c r="I54" s="275"/>
      <c r="J54" s="275"/>
      <c r="K54" s="275"/>
      <c r="L54" s="275"/>
      <c r="M54" s="275"/>
      <c r="N54" s="275"/>
      <c r="O54" s="275"/>
      <c r="P54" s="275"/>
      <c r="Q54" s="275"/>
      <c r="R54" s="275"/>
      <c r="S54" s="275"/>
      <c r="T54" s="275"/>
      <c r="U54" s="275"/>
      <c r="V54" s="7"/>
      <c r="W54" s="7"/>
      <c r="X54" s="7"/>
      <c r="Y54" s="7"/>
      <c r="Z54" s="7"/>
      <c r="AA54" s="7"/>
      <c r="AC54" s="7"/>
      <c r="AD54" s="7"/>
      <c r="AE54" s="7"/>
      <c r="AF54" s="7"/>
      <c r="AG54" s="7"/>
      <c r="AH54" s="7"/>
      <c r="AI54" s="7"/>
      <c r="AJ54" s="7"/>
      <c r="AK54" s="7"/>
      <c r="AL54" s="7"/>
      <c r="AM54" s="7"/>
      <c r="AO54" s="7"/>
      <c r="AP54" s="7"/>
      <c r="AQ54" s="7"/>
      <c r="AR54" s="7"/>
      <c r="AS54" s="7"/>
      <c r="AT54" s="7"/>
      <c r="AU54" s="7"/>
      <c r="AV54" s="7"/>
      <c r="AW54" s="7"/>
      <c r="AX54" s="7"/>
      <c r="AY54" s="7"/>
      <c r="BA54" s="7"/>
      <c r="BB54" s="7"/>
      <c r="BC54" s="7"/>
      <c r="BD54" s="7"/>
      <c r="BE54" s="7"/>
      <c r="BF54" s="7"/>
      <c r="BG54" s="7"/>
      <c r="BH54" s="7"/>
      <c r="BI54" s="7"/>
      <c r="BJ54" s="7"/>
      <c r="BK54" s="7"/>
      <c r="BM54" s="7"/>
      <c r="BN54" s="7"/>
    </row>
    <row r="55" spans="1:66" ht="16.2" customHeight="1">
      <c r="C55" s="514" t="s">
        <v>14</v>
      </c>
      <c r="D55" s="515" t="str">
        <f>C_BS!D58</f>
        <v>Inventories</v>
      </c>
      <c r="E55" s="518">
        <f>ROUND(E10,0)</f>
        <v>5089</v>
      </c>
      <c r="F55" s="518">
        <f>ROUND(F10,0)</f>
        <v>5907</v>
      </c>
      <c r="G55" s="519">
        <f t="shared" ref="G55:G61" si="9">IFERROR(F55/E55-1,0)</f>
        <v>0.16073884849675779</v>
      </c>
      <c r="H55" s="518">
        <f>ROUND(H10,0)</f>
        <v>8723</v>
      </c>
      <c r="I55" s="519">
        <f t="shared" ref="I55:S61" si="10">IFERROR(H55/F55-1,0)</f>
        <v>0.47672253258845432</v>
      </c>
      <c r="J55" s="518">
        <f>ROUND(J10,0)</f>
        <v>9940</v>
      </c>
      <c r="K55" s="519">
        <f t="shared" si="10"/>
        <v>0.13951622148343468</v>
      </c>
      <c r="L55" s="518">
        <f>ROUND(L10,0)</f>
        <v>16465</v>
      </c>
      <c r="M55" s="519">
        <f t="shared" si="10"/>
        <v>0.65643863179074446</v>
      </c>
      <c r="N55" s="518">
        <f>ROUND(N10,0)</f>
        <v>23398</v>
      </c>
      <c r="O55" s="519">
        <f t="shared" si="10"/>
        <v>0.42107500759186145</v>
      </c>
      <c r="P55" s="518">
        <f>ROUND(P10,0)</f>
        <v>19434</v>
      </c>
      <c r="Q55" s="519">
        <f t="shared" si="10"/>
        <v>-0.16941618941789893</v>
      </c>
      <c r="R55" s="518">
        <f>ROUND(R10,0)</f>
        <v>30000</v>
      </c>
      <c r="S55" s="520">
        <f t="shared" si="10"/>
        <v>0.54368632293917885</v>
      </c>
      <c r="T55" s="518">
        <f>C_BS!CL58</f>
        <v>30097</v>
      </c>
      <c r="U55" s="520">
        <f>C_BS!CN58</f>
        <v>3.2333333333334213E-3</v>
      </c>
      <c r="V55" s="7"/>
      <c r="W55" s="7"/>
      <c r="X55" s="7"/>
      <c r="Y55" s="7"/>
      <c r="Z55" s="7"/>
      <c r="AA55" s="7"/>
      <c r="AB55" s="126"/>
      <c r="AC55" s="10"/>
      <c r="AD55" s="10"/>
      <c r="AE55" s="7"/>
      <c r="AF55" s="7"/>
      <c r="AG55" s="7"/>
      <c r="AH55" s="7"/>
      <c r="AI55" s="7"/>
      <c r="AJ55" s="7"/>
      <c r="AK55" s="7"/>
      <c r="AL55" s="7"/>
      <c r="AM55" s="7"/>
      <c r="AN55" s="126"/>
      <c r="AO55" s="10"/>
      <c r="AP55" s="7"/>
      <c r="AQ55" s="7"/>
      <c r="AR55" s="7"/>
      <c r="AS55" s="7"/>
      <c r="AT55" s="7"/>
      <c r="AU55" s="7"/>
      <c r="AV55" s="7"/>
      <c r="AW55" s="7"/>
      <c r="AX55" s="7"/>
      <c r="AY55" s="7"/>
      <c r="AZ55" s="126"/>
      <c r="BA55" s="10"/>
      <c r="BB55" s="7"/>
      <c r="BC55" s="7"/>
      <c r="BD55" s="7"/>
      <c r="BE55" s="7"/>
      <c r="BF55" s="7"/>
      <c r="BG55" s="7"/>
      <c r="BH55" s="7"/>
      <c r="BI55" s="7"/>
      <c r="BJ55" s="7"/>
      <c r="BK55" s="7"/>
      <c r="BL55" s="126"/>
      <c r="BM55" s="7"/>
      <c r="BN55" s="7"/>
    </row>
    <row r="56" spans="1:66" ht="16.2" customHeight="1">
      <c r="A56" s="508"/>
      <c r="C56" s="512" t="s">
        <v>29</v>
      </c>
      <c r="D56" s="511" t="str">
        <f>C_BS!D59</f>
        <v>Finished Goods</v>
      </c>
      <c r="E56" s="521">
        <v>2180.9940000000001</v>
      </c>
      <c r="F56" s="521">
        <v>2599.6489999999999</v>
      </c>
      <c r="G56" s="287">
        <f t="shared" si="9"/>
        <v>0.19195605306571206</v>
      </c>
      <c r="H56" s="521">
        <v>3171.5509999999999</v>
      </c>
      <c r="I56" s="287">
        <f t="shared" si="10"/>
        <v>0.2199920066132004</v>
      </c>
      <c r="J56" s="521">
        <v>2536.692</v>
      </c>
      <c r="K56" s="287">
        <f t="shared" si="10"/>
        <v>-0.20017303836514055</v>
      </c>
      <c r="L56" s="521">
        <v>4604.2659999999996</v>
      </c>
      <c r="M56" s="287">
        <f t="shared" si="10"/>
        <v>0.81506702429778599</v>
      </c>
      <c r="N56" s="521">
        <v>5738.9257939999998</v>
      </c>
      <c r="O56" s="287">
        <f t="shared" si="10"/>
        <v>0.24643662942149747</v>
      </c>
      <c r="P56" s="521">
        <v>5871.0150000000003</v>
      </c>
      <c r="Q56" s="287">
        <f t="shared" si="10"/>
        <v>2.3016364166635217E-2</v>
      </c>
      <c r="R56" s="521">
        <f>C_BS!BZ59</f>
        <v>11507.050241999999</v>
      </c>
      <c r="S56" s="513">
        <f t="shared" si="10"/>
        <v>0.9599762974545285</v>
      </c>
      <c r="T56" s="521">
        <f>C_BS!CL59</f>
        <v>11053.2</v>
      </c>
      <c r="U56" s="513">
        <f>C_BS!CN59</f>
        <v>-3.9441058521103356E-2</v>
      </c>
      <c r="V56" s="7"/>
      <c r="W56" s="7"/>
      <c r="X56" s="7"/>
      <c r="Y56" s="7"/>
      <c r="Z56" s="7"/>
      <c r="AA56" s="7"/>
      <c r="AB56" s="29"/>
      <c r="AC56" s="7"/>
      <c r="AD56" s="7"/>
      <c r="AE56" s="7"/>
      <c r="AF56" s="7"/>
      <c r="AG56" s="7"/>
      <c r="AH56" s="7"/>
      <c r="AI56" s="7"/>
      <c r="AJ56" s="7"/>
      <c r="AK56" s="7"/>
      <c r="AL56" s="7"/>
      <c r="AM56" s="7"/>
      <c r="AN56" s="29"/>
      <c r="AO56" s="7"/>
      <c r="AP56" s="7"/>
      <c r="AQ56" s="7"/>
      <c r="AR56" s="7"/>
      <c r="AS56" s="7"/>
      <c r="AT56" s="7"/>
      <c r="AU56" s="7"/>
      <c r="AV56" s="7"/>
      <c r="AW56" s="7"/>
      <c r="AX56" s="7"/>
      <c r="AY56" s="7"/>
      <c r="AZ56" s="29"/>
      <c r="BA56" s="7"/>
      <c r="BB56" s="7"/>
      <c r="BC56" s="7"/>
      <c r="BD56" s="7"/>
      <c r="BE56" s="7"/>
      <c r="BF56" s="7"/>
      <c r="BG56" s="7"/>
      <c r="BH56" s="7"/>
      <c r="BI56" s="7"/>
      <c r="BJ56" s="7"/>
      <c r="BK56" s="7"/>
      <c r="BL56" s="29"/>
      <c r="BM56" s="7"/>
      <c r="BN56" s="7"/>
    </row>
    <row r="57" spans="1:66" ht="16.2" customHeight="1">
      <c r="A57" s="924"/>
      <c r="C57" s="512" t="s">
        <v>30</v>
      </c>
      <c r="D57" s="511" t="str">
        <f>C_BS!D60</f>
        <v>Work in Process</v>
      </c>
      <c r="E57" s="521">
        <v>388.30200000000002</v>
      </c>
      <c r="F57" s="521">
        <v>483.20699999999999</v>
      </c>
      <c r="G57" s="287">
        <f t="shared" si="9"/>
        <v>0.24441027859758635</v>
      </c>
      <c r="H57" s="521">
        <v>846.61</v>
      </c>
      <c r="I57" s="287">
        <f t="shared" si="10"/>
        <v>0.75206485005391066</v>
      </c>
      <c r="J57" s="521">
        <v>916.61900000000003</v>
      </c>
      <c r="K57" s="287">
        <f t="shared" si="10"/>
        <v>8.2693329868534615E-2</v>
      </c>
      <c r="L57" s="521">
        <v>1830.5260000000001</v>
      </c>
      <c r="M57" s="287">
        <f t="shared" si="10"/>
        <v>0.99704130069309049</v>
      </c>
      <c r="N57" s="521">
        <v>3045.7473890000001</v>
      </c>
      <c r="O57" s="287">
        <f t="shared" si="10"/>
        <v>0.66386458810199911</v>
      </c>
      <c r="P57" s="521">
        <v>2695.67</v>
      </c>
      <c r="Q57" s="287">
        <f t="shared" si="10"/>
        <v>-0.11493973212103448</v>
      </c>
      <c r="R57" s="521">
        <f>C_BS!BZ60</f>
        <v>4049.4464800000001</v>
      </c>
      <c r="S57" s="513">
        <f t="shared" si="10"/>
        <v>0.50220408284396822</v>
      </c>
      <c r="T57" s="521">
        <f>C_BS!CL60</f>
        <v>2783.3</v>
      </c>
      <c r="U57" s="513">
        <f>C_BS!CN60</f>
        <v>-0.3126714938087044</v>
      </c>
      <c r="V57" s="7"/>
      <c r="W57" s="7"/>
      <c r="X57" s="7"/>
      <c r="Y57" s="7"/>
      <c r="Z57" s="7"/>
      <c r="AA57" s="7"/>
      <c r="AB57" s="29"/>
      <c r="AC57" s="7"/>
      <c r="AD57" s="7"/>
      <c r="AE57" s="7"/>
      <c r="AF57" s="7"/>
      <c r="AG57" s="7"/>
      <c r="AH57" s="7"/>
      <c r="AI57" s="7"/>
      <c r="AJ57" s="7"/>
      <c r="AK57" s="7"/>
      <c r="AL57" s="7"/>
      <c r="AM57" s="7"/>
      <c r="AN57" s="29"/>
      <c r="AO57" s="7"/>
      <c r="AP57" s="7"/>
      <c r="AQ57" s="7"/>
      <c r="AR57" s="7"/>
      <c r="AS57" s="7"/>
      <c r="AT57" s="7"/>
      <c r="AU57" s="7"/>
      <c r="AV57" s="7"/>
      <c r="AW57" s="7"/>
      <c r="AX57" s="7"/>
      <c r="AY57" s="7"/>
      <c r="AZ57" s="29"/>
      <c r="BA57" s="7"/>
      <c r="BB57" s="7"/>
      <c r="BC57" s="7"/>
      <c r="BD57" s="7"/>
      <c r="BE57" s="7"/>
      <c r="BF57" s="7"/>
      <c r="BG57" s="7"/>
      <c r="BH57" s="7"/>
      <c r="BI57" s="7"/>
      <c r="BJ57" s="7"/>
      <c r="BK57" s="7"/>
      <c r="BL57" s="29"/>
      <c r="BM57" s="7"/>
      <c r="BN57" s="7"/>
    </row>
    <row r="58" spans="1:66" ht="16.2" customHeight="1">
      <c r="C58" s="512" t="s">
        <v>31</v>
      </c>
      <c r="D58" s="511" t="str">
        <f>C_BS!D61</f>
        <v>Raw materials</v>
      </c>
      <c r="E58" s="521">
        <v>2436.2379999999998</v>
      </c>
      <c r="F58" s="521">
        <v>2819.4760000000001</v>
      </c>
      <c r="G58" s="287">
        <f t="shared" si="9"/>
        <v>0.15730729099537899</v>
      </c>
      <c r="H58" s="521">
        <v>4699.8729999999996</v>
      </c>
      <c r="I58" s="287">
        <f t="shared" si="10"/>
        <v>0.66693137306364703</v>
      </c>
      <c r="J58" s="521">
        <v>6486.9840000000004</v>
      </c>
      <c r="K58" s="287">
        <f t="shared" si="10"/>
        <v>0.38024665772883681</v>
      </c>
      <c r="L58" s="521">
        <v>10030.572</v>
      </c>
      <c r="M58" s="287">
        <f t="shared" si="10"/>
        <v>0.54626125176198981</v>
      </c>
      <c r="N58" s="521">
        <v>14612.993802999999</v>
      </c>
      <c r="O58" s="287">
        <f t="shared" si="10"/>
        <v>0.45684551220010183</v>
      </c>
      <c r="P58" s="521">
        <v>10867.643</v>
      </c>
      <c r="Q58" s="287">
        <f t="shared" si="10"/>
        <v>-0.25630277091003018</v>
      </c>
      <c r="R58" s="521">
        <f>C_BS!BZ61</f>
        <v>12932.859044000001</v>
      </c>
      <c r="S58" s="513">
        <f t="shared" si="10"/>
        <v>0.19003348232914918</v>
      </c>
      <c r="T58" s="521">
        <f>C_BS!CL61</f>
        <v>15431.8</v>
      </c>
      <c r="U58" s="513">
        <f>C_BS!CN61</f>
        <v>0.19322417011568249</v>
      </c>
      <c r="V58" s="7"/>
      <c r="W58" s="7"/>
      <c r="X58" s="7"/>
      <c r="Y58" s="7"/>
      <c r="Z58" s="7"/>
      <c r="AA58" s="7"/>
      <c r="AB58" s="29"/>
      <c r="AC58" s="7"/>
      <c r="AD58" s="7"/>
      <c r="AE58" s="7"/>
      <c r="AF58" s="7"/>
      <c r="AG58" s="7"/>
      <c r="AH58" s="7"/>
      <c r="AI58" s="7"/>
      <c r="AJ58" s="7"/>
      <c r="AK58" s="7"/>
      <c r="AL58" s="7"/>
      <c r="AM58" s="7"/>
      <c r="AN58" s="29"/>
      <c r="AO58" s="7"/>
      <c r="AP58" s="7"/>
      <c r="AQ58" s="7"/>
      <c r="AR58" s="7"/>
      <c r="AS58" s="7"/>
      <c r="AT58" s="7"/>
      <c r="AU58" s="7"/>
      <c r="AV58" s="7"/>
      <c r="AW58" s="7"/>
      <c r="AX58" s="7"/>
      <c r="AY58" s="7"/>
      <c r="AZ58" s="29"/>
      <c r="BA58" s="7"/>
      <c r="BB58" s="7"/>
      <c r="BC58" s="7"/>
      <c r="BD58" s="7"/>
      <c r="BE58" s="7"/>
      <c r="BF58" s="7"/>
      <c r="BG58" s="7"/>
      <c r="BH58" s="7"/>
      <c r="BI58" s="7"/>
      <c r="BJ58" s="7"/>
      <c r="BK58" s="7"/>
      <c r="BL58" s="29"/>
      <c r="BM58" s="7"/>
      <c r="BN58" s="7"/>
    </row>
    <row r="59" spans="1:66" ht="16.2" customHeight="1">
      <c r="C59" s="512" t="s">
        <v>33</v>
      </c>
      <c r="D59" s="511" t="str">
        <f>C_BS!D62</f>
        <v>Merchandise</v>
      </c>
      <c r="E59" s="521">
        <v>83.638000000000005</v>
      </c>
      <c r="F59" s="521">
        <v>4.2709999999999999</v>
      </c>
      <c r="G59" s="287">
        <f t="shared" si="9"/>
        <v>-0.94893469475597214</v>
      </c>
      <c r="H59" s="521">
        <v>4.7</v>
      </c>
      <c r="I59" s="287">
        <f t="shared" si="10"/>
        <v>0.10044486068836345</v>
      </c>
      <c r="J59" s="521">
        <v>0</v>
      </c>
      <c r="K59" s="287">
        <f t="shared" si="10"/>
        <v>-1</v>
      </c>
      <c r="L59" s="521">
        <v>0</v>
      </c>
      <c r="M59" s="287">
        <f t="shared" si="10"/>
        <v>0</v>
      </c>
      <c r="N59" s="521">
        <v>0</v>
      </c>
      <c r="O59" s="287">
        <f t="shared" si="10"/>
        <v>0</v>
      </c>
      <c r="P59" s="521">
        <v>0</v>
      </c>
      <c r="Q59" s="287">
        <f t="shared" si="10"/>
        <v>0</v>
      </c>
      <c r="R59" s="521">
        <f>C_BS!BZ62</f>
        <v>1344.6260520000001</v>
      </c>
      <c r="S59" s="513">
        <f t="shared" si="10"/>
        <v>0</v>
      </c>
      <c r="T59" s="521">
        <f>C_BS!CL62</f>
        <v>799.7</v>
      </c>
      <c r="U59" s="513">
        <f>C_BS!CN62</f>
        <v>-0.40526215536987087</v>
      </c>
      <c r="V59" s="7"/>
      <c r="W59" s="7"/>
      <c r="X59" s="7"/>
      <c r="Y59" s="7"/>
      <c r="Z59" s="7"/>
      <c r="AA59" s="7"/>
      <c r="AB59" s="25"/>
      <c r="AC59" s="7"/>
      <c r="AD59" s="7"/>
      <c r="AE59" s="7"/>
      <c r="AF59" s="7"/>
      <c r="AG59" s="7"/>
      <c r="AH59" s="7"/>
      <c r="AI59" s="7"/>
      <c r="AJ59" s="7"/>
      <c r="AK59" s="7"/>
      <c r="AL59" s="7"/>
      <c r="AM59" s="7"/>
      <c r="AN59" s="25"/>
      <c r="AO59" s="7"/>
      <c r="AP59" s="7"/>
      <c r="AQ59" s="7"/>
      <c r="AR59" s="7"/>
      <c r="AS59" s="7"/>
      <c r="AT59" s="7"/>
      <c r="AU59" s="7"/>
      <c r="AV59" s="7"/>
      <c r="AW59" s="7"/>
      <c r="AX59" s="7"/>
      <c r="AY59" s="7"/>
      <c r="AZ59" s="25"/>
      <c r="BA59" s="7"/>
      <c r="BB59" s="7"/>
      <c r="BC59" s="7"/>
      <c r="BD59" s="7"/>
      <c r="BE59" s="7"/>
      <c r="BF59" s="7"/>
      <c r="BG59" s="7"/>
      <c r="BH59" s="7"/>
      <c r="BI59" s="7"/>
      <c r="BJ59" s="7"/>
      <c r="BK59" s="7"/>
      <c r="BL59" s="25"/>
      <c r="BM59" s="7"/>
      <c r="BN59" s="7"/>
    </row>
    <row r="60" spans="1:66" s="29" customFormat="1" ht="16.2" customHeight="1">
      <c r="A60" s="380"/>
      <c r="B60" s="28"/>
      <c r="C60" s="512" t="s">
        <v>172</v>
      </c>
      <c r="D60" s="511" t="str">
        <f>C_BS!D63</f>
        <v>Others</v>
      </c>
      <c r="E60" s="521"/>
      <c r="F60" s="521"/>
      <c r="G60" s="287">
        <f t="shared" si="9"/>
        <v>0</v>
      </c>
      <c r="H60" s="521"/>
      <c r="I60" s="287">
        <f t="shared" si="10"/>
        <v>0</v>
      </c>
      <c r="J60" s="521"/>
      <c r="K60" s="287">
        <f t="shared" si="10"/>
        <v>0</v>
      </c>
      <c r="L60" s="521"/>
      <c r="M60" s="287">
        <f t="shared" si="10"/>
        <v>0</v>
      </c>
      <c r="N60" s="521"/>
      <c r="O60" s="287">
        <f t="shared" si="10"/>
        <v>0</v>
      </c>
      <c r="P60" s="521"/>
      <c r="Q60" s="287">
        <f t="shared" si="10"/>
        <v>0</v>
      </c>
      <c r="R60" s="521">
        <f>C_BS!BZ63</f>
        <v>165.82505</v>
      </c>
      <c r="S60" s="513">
        <f t="shared" si="10"/>
        <v>0</v>
      </c>
      <c r="T60" s="521">
        <f>C_BS!CL63</f>
        <v>28.5</v>
      </c>
      <c r="U60" s="513">
        <f>C_BS!CN63</f>
        <v>-0.82813211876010295</v>
      </c>
      <c r="V60" s="7"/>
      <c r="W60" s="7"/>
      <c r="X60" s="7"/>
      <c r="Y60" s="7"/>
      <c r="Z60" s="7"/>
      <c r="AA60" s="7"/>
      <c r="AC60" s="15"/>
      <c r="AD60" s="15"/>
      <c r="AE60" s="7"/>
      <c r="AF60" s="7"/>
      <c r="AG60" s="7"/>
      <c r="AH60" s="7"/>
      <c r="AI60" s="7"/>
      <c r="AJ60" s="7"/>
      <c r="AK60" s="7"/>
      <c r="AL60" s="7"/>
      <c r="AM60" s="7"/>
      <c r="AO60" s="15"/>
      <c r="AP60" s="7"/>
      <c r="AQ60" s="7"/>
      <c r="AR60" s="7"/>
      <c r="AS60" s="7"/>
      <c r="AT60" s="7"/>
      <c r="AU60" s="7"/>
      <c r="AV60" s="7"/>
      <c r="AW60" s="7"/>
      <c r="AX60" s="7"/>
      <c r="AY60" s="7"/>
      <c r="BA60" s="15"/>
      <c r="BB60" s="7"/>
      <c r="BC60" s="7"/>
      <c r="BD60" s="7"/>
      <c r="BE60" s="7"/>
      <c r="BF60" s="7"/>
      <c r="BG60" s="7"/>
      <c r="BH60" s="7"/>
      <c r="BI60" s="7"/>
      <c r="BJ60" s="7"/>
      <c r="BK60" s="7"/>
      <c r="BM60" s="7"/>
      <c r="BN60" s="7"/>
    </row>
    <row r="61" spans="1:66" ht="16.95" customHeight="1">
      <c r="A61" s="925"/>
      <c r="B61" s="30"/>
      <c r="C61" s="516"/>
      <c r="D61" s="517"/>
      <c r="E61" s="522">
        <f>ROUND(SUM(E56:E59),0)</f>
        <v>5089</v>
      </c>
      <c r="F61" s="522">
        <f>ROUND(SUM(F56:F59),0)</f>
        <v>5907</v>
      </c>
      <c r="G61" s="523">
        <f t="shared" si="9"/>
        <v>0.16073884849675779</v>
      </c>
      <c r="H61" s="522">
        <f>ROUND(SUM(H56:H59),0)</f>
        <v>8723</v>
      </c>
      <c r="I61" s="523">
        <f t="shared" si="10"/>
        <v>0.47672253258845432</v>
      </c>
      <c r="J61" s="522">
        <f>ROUND(SUM(J56:J58),0)</f>
        <v>9940</v>
      </c>
      <c r="K61" s="523">
        <f t="shared" si="10"/>
        <v>0.13951622148343468</v>
      </c>
      <c r="L61" s="522">
        <f>ROUND(SUM(L56:L58),0)</f>
        <v>16465</v>
      </c>
      <c r="M61" s="523">
        <f t="shared" si="10"/>
        <v>0.65643863179074446</v>
      </c>
      <c r="N61" s="522">
        <f>ROUND(SUM(N56:N58),0)</f>
        <v>23398</v>
      </c>
      <c r="O61" s="523">
        <f t="shared" si="10"/>
        <v>0.42107500759186145</v>
      </c>
      <c r="P61" s="522">
        <f>ROUND(SUM(P56:P58),0)</f>
        <v>19434</v>
      </c>
      <c r="Q61" s="523">
        <f t="shared" si="10"/>
        <v>-0.16941618941789893</v>
      </c>
      <c r="R61" s="522">
        <f>C_BS!BZ64</f>
        <v>30000</v>
      </c>
      <c r="S61" s="524">
        <f t="shared" si="10"/>
        <v>0.54368632293917885</v>
      </c>
      <c r="T61" s="522">
        <f>C_BS!CL64</f>
        <v>30097</v>
      </c>
      <c r="U61" s="524">
        <f>C_BS!CN64</f>
        <v>3.2333333333334213E-3</v>
      </c>
    </row>
    <row r="62" spans="1:66" ht="16.95" customHeight="1">
      <c r="C62" s="425"/>
      <c r="D62" s="425"/>
      <c r="E62" s="425" t="b">
        <f>E55=E61</f>
        <v>1</v>
      </c>
      <c r="F62" s="425" t="b">
        <f>F55=F61</f>
        <v>1</v>
      </c>
      <c r="G62" s="275"/>
      <c r="H62" s="425" t="b">
        <f>H55=H61</f>
        <v>1</v>
      </c>
      <c r="I62" s="275"/>
      <c r="J62" s="425" t="b">
        <f>J55=J61</f>
        <v>1</v>
      </c>
      <c r="K62" s="275"/>
      <c r="L62" s="425" t="b">
        <f>L55=L61</f>
        <v>1</v>
      </c>
      <c r="M62" s="275"/>
      <c r="N62" s="425" t="b">
        <f>N55=N61</f>
        <v>1</v>
      </c>
      <c r="O62" s="275"/>
      <c r="P62" s="425" t="b">
        <f>P55=P61</f>
        <v>1</v>
      </c>
      <c r="Q62" s="275"/>
      <c r="R62" s="425" t="b">
        <f>C_BS!BZ65</f>
        <v>1</v>
      </c>
      <c r="S62" s="275"/>
      <c r="T62" s="425"/>
      <c r="U62" s="275"/>
    </row>
    <row r="63" spans="1:66" ht="16.2" customHeight="1">
      <c r="C63" s="425"/>
      <c r="D63" s="425"/>
      <c r="E63" s="425"/>
      <c r="F63" s="425"/>
      <c r="G63" s="275"/>
      <c r="H63" s="425"/>
      <c r="I63" s="275"/>
      <c r="J63" s="425"/>
      <c r="K63" s="275"/>
      <c r="L63" s="425"/>
      <c r="M63" s="275"/>
      <c r="N63" s="425"/>
      <c r="O63" s="275"/>
      <c r="P63" s="425"/>
      <c r="Q63" s="275"/>
      <c r="R63" s="425"/>
      <c r="S63" s="275"/>
      <c r="T63" s="425"/>
      <c r="U63" s="275"/>
      <c r="V63" s="7"/>
      <c r="W63" s="7"/>
      <c r="X63" s="7"/>
      <c r="Y63" s="7"/>
      <c r="Z63" s="7"/>
      <c r="AA63" s="7"/>
      <c r="AB63" s="29"/>
      <c r="AC63" s="7"/>
      <c r="AD63" s="7"/>
      <c r="AE63" s="7"/>
      <c r="AF63" s="7"/>
      <c r="AG63" s="7"/>
      <c r="AH63" s="7"/>
      <c r="AI63" s="7"/>
      <c r="AJ63" s="7"/>
      <c r="AK63" s="7"/>
      <c r="AL63" s="7"/>
      <c r="AM63" s="7"/>
      <c r="AN63" s="29"/>
      <c r="AO63" s="7"/>
      <c r="AP63" s="7"/>
      <c r="AQ63" s="7"/>
      <c r="AR63" s="7"/>
      <c r="AS63" s="7"/>
      <c r="AT63" s="7"/>
      <c r="AU63" s="7"/>
      <c r="AV63" s="7"/>
      <c r="AW63" s="7"/>
      <c r="AX63" s="7"/>
      <c r="AY63" s="7"/>
      <c r="AZ63" s="29"/>
      <c r="BA63" s="7"/>
      <c r="BB63" s="7"/>
      <c r="BC63" s="7"/>
      <c r="BD63" s="7"/>
      <c r="BE63" s="7"/>
      <c r="BF63" s="7"/>
      <c r="BG63" s="7"/>
      <c r="BH63" s="7"/>
      <c r="BI63" s="7"/>
      <c r="BJ63" s="7"/>
      <c r="BK63" s="7"/>
      <c r="BL63" s="29"/>
      <c r="BM63" s="7"/>
      <c r="BN63" s="7"/>
    </row>
    <row r="64" spans="1:66" ht="16.2" customHeight="1">
      <c r="C64" s="514" t="s">
        <v>16</v>
      </c>
      <c r="D64" s="515" t="str">
        <f>C_BS!D67</f>
        <v>Other current assets</v>
      </c>
      <c r="E64" s="518">
        <f>ROUND(E12,0)</f>
        <v>826</v>
      </c>
      <c r="F64" s="518">
        <f>ROUND(F12,0)</f>
        <v>1590</v>
      </c>
      <c r="G64" s="519">
        <f>IFERROR(F64/E64-1,0)</f>
        <v>0.92493946731234877</v>
      </c>
      <c r="H64" s="518">
        <f>ROUND(H12,0)</f>
        <v>737</v>
      </c>
      <c r="I64" s="519">
        <f t="shared" ref="I64:S68" si="11">IFERROR(H64/F64-1,0)</f>
        <v>-0.53647798742138364</v>
      </c>
      <c r="J64" s="518">
        <f>ROUND(J12,0)</f>
        <v>512</v>
      </c>
      <c r="K64" s="519">
        <f t="shared" si="11"/>
        <v>-0.30529172320217102</v>
      </c>
      <c r="L64" s="518">
        <f>ROUND(L12,0)</f>
        <v>5715</v>
      </c>
      <c r="M64" s="519">
        <f t="shared" si="11"/>
        <v>10.162109375</v>
      </c>
      <c r="N64" s="518">
        <f>ROUND(N12,0)</f>
        <v>2705</v>
      </c>
      <c r="O64" s="519">
        <f t="shared" si="11"/>
        <v>-0.52668416447944</v>
      </c>
      <c r="P64" s="518">
        <f>ROUND(P12,0)</f>
        <v>10277</v>
      </c>
      <c r="Q64" s="519">
        <f t="shared" si="11"/>
        <v>2.7992606284658041</v>
      </c>
      <c r="R64" s="518">
        <f>ROUND(R12,0)</f>
        <v>5609</v>
      </c>
      <c r="S64" s="520">
        <f t="shared" si="11"/>
        <v>-0.45421815704972268</v>
      </c>
      <c r="T64" s="518">
        <f>C_BS!CL67</f>
        <v>6124</v>
      </c>
      <c r="U64" s="520">
        <f>C_BS!CN67</f>
        <v>9.181672312355138E-2</v>
      </c>
      <c r="V64" s="7"/>
      <c r="W64" s="7"/>
      <c r="X64" s="7"/>
      <c r="Y64" s="7"/>
      <c r="Z64" s="7"/>
      <c r="AA64" s="7"/>
      <c r="AB64" s="25"/>
      <c r="AC64" s="10"/>
      <c r="AD64" s="10"/>
      <c r="AE64" s="7"/>
      <c r="AF64" s="7"/>
      <c r="AG64" s="7"/>
      <c r="AH64" s="7"/>
      <c r="AI64" s="7"/>
      <c r="AJ64" s="7"/>
      <c r="AK64" s="7"/>
      <c r="AL64" s="7"/>
      <c r="AM64" s="7"/>
      <c r="AN64" s="25"/>
      <c r="AO64" s="10"/>
      <c r="AP64" s="7"/>
      <c r="AQ64" s="7"/>
      <c r="AR64" s="7"/>
      <c r="AS64" s="7"/>
      <c r="AT64" s="7"/>
      <c r="AU64" s="7"/>
      <c r="AV64" s="7"/>
      <c r="AW64" s="7"/>
      <c r="AX64" s="7"/>
      <c r="AY64" s="7"/>
      <c r="AZ64" s="25"/>
      <c r="BA64" s="10"/>
      <c r="BB64" s="7"/>
      <c r="BC64" s="7"/>
      <c r="BD64" s="7"/>
      <c r="BE64" s="7"/>
      <c r="BF64" s="7"/>
      <c r="BG64" s="7"/>
      <c r="BH64" s="7"/>
      <c r="BI64" s="7"/>
      <c r="BJ64" s="7"/>
      <c r="BK64" s="7"/>
      <c r="BL64" s="25"/>
      <c r="BM64" s="7"/>
      <c r="BN64" s="7"/>
    </row>
    <row r="65" spans="1:66" ht="16.2" customHeight="1">
      <c r="C65" s="512" t="s">
        <v>35</v>
      </c>
      <c r="D65" s="511" t="str">
        <f>C_BS!D68</f>
        <v>Advance Payments</v>
      </c>
      <c r="E65" s="521">
        <v>716.44</v>
      </c>
      <c r="F65" s="521">
        <v>958.26099999999997</v>
      </c>
      <c r="G65" s="287">
        <f>IFERROR(F65/E65-1,0)</f>
        <v>0.33753140528167025</v>
      </c>
      <c r="H65" s="521">
        <v>654.04999999999995</v>
      </c>
      <c r="I65" s="287">
        <f t="shared" si="11"/>
        <v>-0.31746152666131677</v>
      </c>
      <c r="J65" s="521">
        <v>417.22800000000001</v>
      </c>
      <c r="K65" s="287">
        <f t="shared" si="11"/>
        <v>-0.36208546747190573</v>
      </c>
      <c r="L65" s="521">
        <v>3238.7060000000001</v>
      </c>
      <c r="M65" s="287">
        <f t="shared" si="11"/>
        <v>6.7624368450823056</v>
      </c>
      <c r="N65" s="521">
        <v>2442.1568629999997</v>
      </c>
      <c r="O65" s="287">
        <f t="shared" si="11"/>
        <v>-0.24594672594548572</v>
      </c>
      <c r="P65" s="521">
        <v>9682.9439999999995</v>
      </c>
      <c r="Q65" s="287">
        <f t="shared" si="11"/>
        <v>2.9649148450297562</v>
      </c>
      <c r="R65" s="521">
        <f>C_BS!BZ68</f>
        <v>3995.643</v>
      </c>
      <c r="S65" s="513">
        <f t="shared" si="11"/>
        <v>-0.58735246222636417</v>
      </c>
      <c r="T65" s="521">
        <f>C_BS!CL68</f>
        <v>4012.476842</v>
      </c>
      <c r="U65" s="513">
        <f>C_BS!CN68</f>
        <v>4.2130495642378474E-3</v>
      </c>
      <c r="V65" s="7"/>
      <c r="W65" s="7"/>
      <c r="X65" s="7"/>
      <c r="Y65" s="7"/>
      <c r="Z65" s="7"/>
      <c r="AA65" s="7"/>
      <c r="AB65" s="29"/>
      <c r="AC65" s="7"/>
      <c r="AD65" s="7"/>
      <c r="AE65" s="7"/>
      <c r="AF65" s="7"/>
      <c r="AG65" s="7"/>
      <c r="AH65" s="7"/>
      <c r="AI65" s="7"/>
      <c r="AJ65" s="7"/>
      <c r="AK65" s="7"/>
      <c r="AL65" s="7"/>
      <c r="AM65" s="7"/>
      <c r="AN65" s="29"/>
      <c r="AO65" s="7"/>
      <c r="AP65" s="7"/>
      <c r="AQ65" s="7"/>
      <c r="AR65" s="7"/>
      <c r="AS65" s="7"/>
      <c r="AT65" s="7"/>
      <c r="AU65" s="7"/>
      <c r="AV65" s="7"/>
      <c r="AW65" s="7"/>
      <c r="AX65" s="7"/>
      <c r="AY65" s="7"/>
      <c r="AZ65" s="29"/>
      <c r="BA65" s="7"/>
      <c r="BB65" s="7"/>
      <c r="BC65" s="7"/>
      <c r="BD65" s="7"/>
      <c r="BE65" s="7"/>
      <c r="BF65" s="7"/>
      <c r="BG65" s="7"/>
      <c r="BH65" s="7"/>
      <c r="BI65" s="7"/>
      <c r="BJ65" s="7"/>
      <c r="BK65" s="7"/>
      <c r="BL65" s="29"/>
      <c r="BM65" s="7"/>
      <c r="BN65" s="7"/>
    </row>
    <row r="66" spans="1:66" ht="16.2" customHeight="1">
      <c r="C66" s="512" t="s">
        <v>36</v>
      </c>
      <c r="D66" s="511" t="str">
        <f>C_BS!D69</f>
        <v>Prepaid Expenses</v>
      </c>
      <c r="E66" s="521">
        <v>55.008000000000003</v>
      </c>
      <c r="F66" s="521">
        <v>55.57</v>
      </c>
      <c r="G66" s="287">
        <f>IFERROR(F66/E66-1,0)</f>
        <v>1.021669575334494E-2</v>
      </c>
      <c r="H66" s="521">
        <v>79.823999999999998</v>
      </c>
      <c r="I66" s="287">
        <f t="shared" si="11"/>
        <v>0.4364585207845959</v>
      </c>
      <c r="J66" s="521">
        <v>94.63</v>
      </c>
      <c r="K66" s="287">
        <f t="shared" si="11"/>
        <v>0.18548306273802373</v>
      </c>
      <c r="L66" s="521">
        <v>1110.9680000000001</v>
      </c>
      <c r="M66" s="287">
        <f t="shared" si="11"/>
        <v>10.740124696185143</v>
      </c>
      <c r="N66" s="521">
        <v>258.60925700000001</v>
      </c>
      <c r="O66" s="287">
        <f t="shared" si="11"/>
        <v>-0.76722168685326664</v>
      </c>
      <c r="P66" s="521">
        <v>594.26599999999996</v>
      </c>
      <c r="Q66" s="287">
        <f t="shared" si="11"/>
        <v>1.2979301162448333</v>
      </c>
      <c r="R66" s="521">
        <f>C_BS!BZ69</f>
        <v>1612.788</v>
      </c>
      <c r="S66" s="513">
        <f t="shared" si="11"/>
        <v>1.7139159904823766</v>
      </c>
      <c r="T66" s="521">
        <f>C_BS!CL69</f>
        <v>2111.3934789999998</v>
      </c>
      <c r="U66" s="513">
        <f>C_BS!CN69</f>
        <v>0.30915748319059899</v>
      </c>
      <c r="V66" s="7"/>
      <c r="W66" s="7"/>
      <c r="X66" s="7"/>
      <c r="Y66" s="7"/>
      <c r="Z66" s="7"/>
      <c r="AA66" s="7"/>
      <c r="AB66" s="29"/>
      <c r="AC66" s="7"/>
      <c r="AD66" s="7"/>
      <c r="AE66" s="7"/>
      <c r="AF66" s="7"/>
      <c r="AG66" s="7"/>
      <c r="AH66" s="7"/>
      <c r="AI66" s="7"/>
      <c r="AJ66" s="7"/>
      <c r="AK66" s="7"/>
      <c r="AL66" s="7"/>
      <c r="AM66" s="7"/>
      <c r="AN66" s="29"/>
      <c r="AO66" s="7"/>
      <c r="AP66" s="7"/>
      <c r="AQ66" s="7"/>
      <c r="AR66" s="7"/>
      <c r="AS66" s="7"/>
      <c r="AT66" s="7"/>
      <c r="AU66" s="7"/>
      <c r="AV66" s="7"/>
      <c r="AW66" s="7"/>
      <c r="AX66" s="7"/>
      <c r="AY66" s="7"/>
      <c r="AZ66" s="29"/>
      <c r="BA66" s="7"/>
      <c r="BB66" s="7"/>
      <c r="BC66" s="7"/>
      <c r="BD66" s="7"/>
      <c r="BE66" s="7"/>
      <c r="BF66" s="7"/>
      <c r="BG66" s="7"/>
      <c r="BH66" s="7"/>
      <c r="BI66" s="7"/>
      <c r="BJ66" s="7"/>
      <c r="BK66" s="7"/>
      <c r="BL66" s="29"/>
      <c r="BM66" s="7"/>
      <c r="BN66" s="7"/>
    </row>
    <row r="67" spans="1:66" ht="16.2" customHeight="1">
      <c r="C67" s="512" t="s">
        <v>37</v>
      </c>
      <c r="D67" s="511" t="str">
        <f>C_BS!D70</f>
        <v>Prepaid value added tax</v>
      </c>
      <c r="E67" s="521">
        <v>54.095999999999997</v>
      </c>
      <c r="F67" s="521">
        <v>576.12199999999996</v>
      </c>
      <c r="G67" s="287">
        <f>IFERROR(F67/E67-1,0)</f>
        <v>9.6499926057379479</v>
      </c>
      <c r="H67" s="521">
        <v>3.22</v>
      </c>
      <c r="I67" s="287">
        <f t="shared" si="11"/>
        <v>-0.99441090602337701</v>
      </c>
      <c r="J67" s="521">
        <v>0</v>
      </c>
      <c r="K67" s="287">
        <f t="shared" si="11"/>
        <v>-1</v>
      </c>
      <c r="L67" s="521">
        <v>1365.4469999999999</v>
      </c>
      <c r="M67" s="287">
        <f t="shared" si="11"/>
        <v>0</v>
      </c>
      <c r="N67" s="521">
        <v>4.5413600000000001</v>
      </c>
      <c r="O67" s="287">
        <f t="shared" si="11"/>
        <v>-0.99667408548262948</v>
      </c>
      <c r="P67" s="521">
        <v>4.3999999999999997E-2</v>
      </c>
      <c r="Q67" s="287">
        <f t="shared" si="11"/>
        <v>-0.99031127239417271</v>
      </c>
      <c r="R67" s="521">
        <f>C_BS!BZ70</f>
        <v>0.14699999999999999</v>
      </c>
      <c r="S67" s="513">
        <f t="shared" si="11"/>
        <v>2.3409090909090908</v>
      </c>
      <c r="T67" s="521">
        <f>C_BS!CL70</f>
        <v>0</v>
      </c>
      <c r="U67" s="513">
        <f>C_BS!CN70</f>
        <v>-1</v>
      </c>
      <c r="V67" s="7"/>
      <c r="W67" s="7"/>
      <c r="X67" s="7"/>
      <c r="Y67" s="7"/>
      <c r="Z67" s="7"/>
      <c r="AA67" s="7"/>
      <c r="AB67" s="127"/>
      <c r="AC67" s="7"/>
      <c r="AD67" s="7"/>
      <c r="AE67" s="7"/>
      <c r="AF67" s="7"/>
      <c r="AG67" s="7"/>
      <c r="AH67" s="7"/>
      <c r="AI67" s="7"/>
      <c r="AJ67" s="7"/>
      <c r="AK67" s="7"/>
      <c r="AL67" s="7"/>
      <c r="AM67" s="7"/>
      <c r="AN67" s="127"/>
      <c r="AO67" s="7"/>
      <c r="AP67" s="7"/>
      <c r="AQ67" s="7"/>
      <c r="AR67" s="7"/>
      <c r="AS67" s="7"/>
      <c r="AT67" s="7"/>
      <c r="AU67" s="7"/>
      <c r="AV67" s="7"/>
      <c r="AW67" s="7"/>
      <c r="AX67" s="7"/>
      <c r="AY67" s="7"/>
      <c r="AZ67" s="127"/>
      <c r="BA67" s="7"/>
      <c r="BB67" s="7"/>
      <c r="BC67" s="7"/>
      <c r="BD67" s="7"/>
      <c r="BE67" s="7"/>
      <c r="BF67" s="7"/>
      <c r="BG67" s="7"/>
      <c r="BH67" s="7"/>
      <c r="BI67" s="7"/>
      <c r="BJ67" s="7"/>
      <c r="BK67" s="7"/>
      <c r="BL67" s="127"/>
      <c r="BM67" s="7"/>
      <c r="BN67" s="7"/>
    </row>
    <row r="68" spans="1:66" ht="16.95" customHeight="1">
      <c r="C68" s="516"/>
      <c r="D68" s="517"/>
      <c r="E68" s="522">
        <f>ROUND(SUM(E65:E67),0)</f>
        <v>826</v>
      </c>
      <c r="F68" s="522">
        <f>ROUND(SUM(F65:F67),0)</f>
        <v>1590</v>
      </c>
      <c r="G68" s="523">
        <f>IFERROR(F68/E68-1,0)</f>
        <v>0.92493946731234877</v>
      </c>
      <c r="H68" s="522">
        <f>ROUND(SUM(H65:H67),0)</f>
        <v>737</v>
      </c>
      <c r="I68" s="523">
        <f t="shared" si="11"/>
        <v>-0.53647798742138364</v>
      </c>
      <c r="J68" s="522">
        <f>ROUND(SUM(J65:J67),0)</f>
        <v>512</v>
      </c>
      <c r="K68" s="523">
        <f t="shared" si="11"/>
        <v>-0.30529172320217102</v>
      </c>
      <c r="L68" s="522">
        <f>ROUND(SUM(L65:L67),0)</f>
        <v>5715</v>
      </c>
      <c r="M68" s="523">
        <f t="shared" si="11"/>
        <v>10.162109375</v>
      </c>
      <c r="N68" s="522">
        <f>ROUND(SUM(N65:N67),0)</f>
        <v>2705</v>
      </c>
      <c r="O68" s="523">
        <f t="shared" si="11"/>
        <v>-0.52668416447944</v>
      </c>
      <c r="P68" s="522">
        <f>ROUND(SUM(P65:P67),0)</f>
        <v>10277</v>
      </c>
      <c r="Q68" s="523">
        <f t="shared" si="11"/>
        <v>2.7992606284658041</v>
      </c>
      <c r="R68" s="522">
        <f>ROUND(SUM(R65:R67),0)</f>
        <v>5609</v>
      </c>
      <c r="S68" s="524">
        <f t="shared" si="11"/>
        <v>-0.45421815704972268</v>
      </c>
      <c r="T68" s="522">
        <f>C_BS!CL71</f>
        <v>6124</v>
      </c>
      <c r="U68" s="524">
        <f>C_BS!CN71</f>
        <v>9.181672312355138E-2</v>
      </c>
    </row>
    <row r="69" spans="1:66" ht="16.95" customHeight="1">
      <c r="C69" s="425"/>
      <c r="D69" s="425"/>
      <c r="E69" s="425" t="b">
        <f>E64=E68</f>
        <v>1</v>
      </c>
      <c r="F69" s="425" t="b">
        <f>F64=F68</f>
        <v>1</v>
      </c>
      <c r="G69" s="275"/>
      <c r="H69" s="425" t="b">
        <f>H64=H68</f>
        <v>1</v>
      </c>
      <c r="I69" s="275"/>
      <c r="J69" s="425" t="b">
        <f>J64=J68</f>
        <v>1</v>
      </c>
      <c r="K69" s="275"/>
      <c r="L69" s="425" t="b">
        <f>L64=L68</f>
        <v>1</v>
      </c>
      <c r="M69" s="275"/>
      <c r="N69" s="425" t="b">
        <f>N64=N68</f>
        <v>1</v>
      </c>
      <c r="O69" s="275"/>
      <c r="P69" s="425" t="b">
        <f>P68=P64</f>
        <v>1</v>
      </c>
      <c r="Q69" s="275"/>
      <c r="R69" s="425" t="b">
        <f>R68=R64</f>
        <v>1</v>
      </c>
      <c r="S69" s="275"/>
      <c r="T69" s="425"/>
      <c r="U69" s="275"/>
    </row>
    <row r="70" spans="1:66" ht="16.2" customHeight="1">
      <c r="C70" s="425"/>
      <c r="D70" s="425"/>
      <c r="E70" s="425"/>
      <c r="F70" s="425"/>
      <c r="G70" s="275"/>
      <c r="H70" s="425"/>
      <c r="I70" s="275"/>
      <c r="J70" s="425"/>
      <c r="K70" s="275"/>
      <c r="L70" s="425"/>
      <c r="M70" s="275"/>
      <c r="N70" s="425"/>
      <c r="O70" s="275"/>
      <c r="P70" s="425"/>
      <c r="Q70" s="275"/>
      <c r="R70" s="425"/>
      <c r="S70" s="275"/>
      <c r="T70" s="425"/>
      <c r="U70" s="275"/>
      <c r="V70" s="7"/>
      <c r="W70" s="7"/>
      <c r="X70" s="7"/>
      <c r="Y70" s="7"/>
      <c r="Z70" s="7"/>
      <c r="AA70" s="7"/>
      <c r="AB70" s="29"/>
      <c r="AC70" s="7"/>
      <c r="AD70" s="7"/>
      <c r="AE70" s="7"/>
      <c r="AF70" s="7"/>
      <c r="AG70" s="7"/>
      <c r="AH70" s="7"/>
      <c r="AI70" s="7"/>
      <c r="AJ70" s="7"/>
      <c r="AK70" s="7"/>
      <c r="AL70" s="7"/>
      <c r="AM70" s="7"/>
      <c r="AN70" s="29"/>
      <c r="AO70" s="7"/>
      <c r="AP70" s="7"/>
      <c r="AQ70" s="7"/>
      <c r="AR70" s="7"/>
      <c r="AS70" s="7"/>
      <c r="AT70" s="7"/>
      <c r="AU70" s="7"/>
      <c r="AV70" s="7"/>
      <c r="AW70" s="7"/>
      <c r="AX70" s="7"/>
      <c r="AY70" s="7"/>
      <c r="AZ70" s="29"/>
      <c r="BA70" s="7"/>
      <c r="BB70" s="7"/>
      <c r="BC70" s="7"/>
      <c r="BD70" s="7"/>
      <c r="BE70" s="7"/>
      <c r="BF70" s="7"/>
      <c r="BG70" s="7"/>
      <c r="BH70" s="7"/>
      <c r="BI70" s="7"/>
      <c r="BJ70" s="7"/>
      <c r="BK70" s="7"/>
      <c r="BL70" s="29"/>
      <c r="BM70" s="7"/>
      <c r="BN70" s="7"/>
    </row>
    <row r="71" spans="1:66" ht="16.2" customHeight="1">
      <c r="C71" s="514" t="s">
        <v>23</v>
      </c>
      <c r="D71" s="515" t="str">
        <f>C_BS!D74</f>
        <v>Other current liabilities</v>
      </c>
      <c r="E71" s="518">
        <f>ROUND(E32,0)</f>
        <v>4523</v>
      </c>
      <c r="F71" s="518">
        <f>ROUND(F32,0)</f>
        <v>5178</v>
      </c>
      <c r="G71" s="519">
        <f>IFERROR(F71/E71-1,0)</f>
        <v>0.14481538801680305</v>
      </c>
      <c r="H71" s="518">
        <f>ROUND(H32,0)</f>
        <v>6166</v>
      </c>
      <c r="I71" s="519">
        <f t="shared" ref="I71:S75" si="12">IFERROR(H71/F71-1,0)</f>
        <v>0.19080726149092309</v>
      </c>
      <c r="J71" s="518">
        <f>ROUND(J32,0)</f>
        <v>6641</v>
      </c>
      <c r="K71" s="519">
        <f t="shared" si="12"/>
        <v>7.7035355173532327E-2</v>
      </c>
      <c r="L71" s="518">
        <f>ROUND(L32,0)</f>
        <v>6743</v>
      </c>
      <c r="M71" s="519">
        <f t="shared" si="12"/>
        <v>1.5359132660743846E-2</v>
      </c>
      <c r="N71" s="518">
        <f>ROUND(N32,0)</f>
        <v>6293</v>
      </c>
      <c r="O71" s="519">
        <f t="shared" si="12"/>
        <v>-6.6735874239952531E-2</v>
      </c>
      <c r="P71" s="518">
        <f>ROUND(P32,0)</f>
        <v>5072</v>
      </c>
      <c r="Q71" s="519">
        <f t="shared" si="12"/>
        <v>-0.19402510726203714</v>
      </c>
      <c r="R71" s="518">
        <f>ROUND(R32,0)</f>
        <v>5307</v>
      </c>
      <c r="S71" s="520">
        <f t="shared" si="12"/>
        <v>4.6332807570977907E-2</v>
      </c>
      <c r="T71" s="518">
        <f>C_BS!CL74</f>
        <v>4937</v>
      </c>
      <c r="U71" s="520">
        <f>C_BS!CN74</f>
        <v>-0.1072332730560579</v>
      </c>
      <c r="V71" s="7"/>
      <c r="W71" s="7"/>
      <c r="X71" s="7"/>
      <c r="Y71" s="7"/>
      <c r="Z71" s="7"/>
      <c r="AA71" s="7"/>
      <c r="AB71" s="124"/>
      <c r="AC71" s="10"/>
      <c r="AD71" s="10"/>
      <c r="AE71" s="7"/>
      <c r="AF71" s="7"/>
      <c r="AG71" s="7"/>
      <c r="AH71" s="7"/>
      <c r="AI71" s="7"/>
      <c r="AJ71" s="7"/>
      <c r="AK71" s="7"/>
      <c r="AL71" s="7"/>
      <c r="AM71" s="7"/>
      <c r="AN71" s="124"/>
      <c r="AO71" s="10"/>
      <c r="AP71" s="7"/>
      <c r="AQ71" s="7"/>
      <c r="AR71" s="7"/>
      <c r="AS71" s="7"/>
      <c r="AT71" s="7"/>
      <c r="AU71" s="7"/>
      <c r="AV71" s="7"/>
      <c r="AW71" s="7"/>
      <c r="AX71" s="7"/>
      <c r="AY71" s="7"/>
      <c r="AZ71" s="124"/>
      <c r="BA71" s="10"/>
      <c r="BB71" s="7"/>
      <c r="BC71" s="7"/>
      <c r="BD71" s="7"/>
      <c r="BE71" s="7"/>
      <c r="BF71" s="7"/>
      <c r="BG71" s="7"/>
      <c r="BH71" s="7"/>
      <c r="BI71" s="7"/>
      <c r="BJ71" s="7"/>
      <c r="BK71" s="7"/>
      <c r="BL71" s="124"/>
      <c r="BM71" s="7"/>
      <c r="BN71" s="7"/>
    </row>
    <row r="72" spans="1:66" ht="16.2" customHeight="1">
      <c r="C72" s="512" t="s">
        <v>39</v>
      </c>
      <c r="D72" s="511" t="str">
        <f>C_BS!D75</f>
        <v>Withholdings</v>
      </c>
      <c r="E72" s="521">
        <v>258.77300000000002</v>
      </c>
      <c r="F72" s="521">
        <v>224.77600000000001</v>
      </c>
      <c r="G72" s="287">
        <f>IFERROR(F72/E72-1,0)</f>
        <v>-0.13137769396343513</v>
      </c>
      <c r="H72" s="521">
        <v>465.03300000000002</v>
      </c>
      <c r="I72" s="287">
        <f t="shared" si="12"/>
        <v>1.0688730113535252</v>
      </c>
      <c r="J72" s="521">
        <v>1061.6949999999999</v>
      </c>
      <c r="K72" s="287">
        <f t="shared" si="12"/>
        <v>1.2830530306451369</v>
      </c>
      <c r="L72" s="521">
        <v>1243.5340000000001</v>
      </c>
      <c r="M72" s="287">
        <f t="shared" si="12"/>
        <v>0.17127235222921855</v>
      </c>
      <c r="N72" s="521">
        <v>4.4985270000000002</v>
      </c>
      <c r="O72" s="287">
        <f t="shared" si="12"/>
        <v>-0.99638246561814958</v>
      </c>
      <c r="P72" s="521">
        <v>0.11600000000000001</v>
      </c>
      <c r="Q72" s="287">
        <f t="shared" si="12"/>
        <v>-0.97421378153337745</v>
      </c>
      <c r="R72" s="521">
        <f>C_BS!BZ75</f>
        <v>19.966000000000001</v>
      </c>
      <c r="S72" s="513">
        <f t="shared" si="12"/>
        <v>171.12068965517241</v>
      </c>
      <c r="T72" s="521">
        <f>C_BS!CL75</f>
        <v>850.94049600000005</v>
      </c>
      <c r="U72" s="513">
        <f>C_BS!CN75</f>
        <v>41.619477912451167</v>
      </c>
      <c r="V72" s="7"/>
      <c r="W72" s="7"/>
      <c r="X72" s="7"/>
      <c r="Y72" s="7"/>
      <c r="Z72" s="7"/>
      <c r="AA72" s="7"/>
      <c r="AB72" s="29"/>
      <c r="AC72" s="7"/>
      <c r="AD72" s="7"/>
      <c r="AE72" s="7"/>
      <c r="AF72" s="7"/>
      <c r="AG72" s="7"/>
      <c r="AH72" s="7"/>
      <c r="AI72" s="7"/>
      <c r="AJ72" s="7"/>
      <c r="AK72" s="7"/>
      <c r="AL72" s="7"/>
      <c r="AM72" s="7"/>
      <c r="AN72" s="29"/>
      <c r="AO72" s="7"/>
      <c r="AP72" s="7"/>
      <c r="AQ72" s="7"/>
      <c r="AR72" s="7"/>
      <c r="AS72" s="7"/>
      <c r="AT72" s="7"/>
      <c r="AU72" s="7"/>
      <c r="AV72" s="7"/>
      <c r="AW72" s="7"/>
      <c r="AX72" s="7"/>
      <c r="AY72" s="7"/>
      <c r="AZ72" s="29"/>
      <c r="BA72" s="7"/>
      <c r="BB72" s="7"/>
      <c r="BC72" s="7"/>
      <c r="BD72" s="7"/>
      <c r="BE72" s="7"/>
      <c r="BF72" s="7"/>
      <c r="BG72" s="7"/>
      <c r="BH72" s="7"/>
      <c r="BI72" s="7"/>
      <c r="BJ72" s="7"/>
      <c r="BK72" s="7"/>
      <c r="BL72" s="29"/>
      <c r="BM72" s="7"/>
      <c r="BN72" s="7"/>
    </row>
    <row r="73" spans="1:66" ht="16.2" customHeight="1">
      <c r="C73" s="512" t="s">
        <v>41</v>
      </c>
      <c r="D73" s="511" t="str">
        <f>C_BS!D76</f>
        <v>Value added tax withheld</v>
      </c>
      <c r="E73" s="521">
        <v>12.31</v>
      </c>
      <c r="F73" s="521">
        <v>0.82299999999999995</v>
      </c>
      <c r="G73" s="287">
        <f>IFERROR(F73/E73-1,0)</f>
        <v>-0.93314378554021116</v>
      </c>
      <c r="H73" s="521">
        <v>447.77</v>
      </c>
      <c r="I73" s="287">
        <f t="shared" si="12"/>
        <v>543.07047387606315</v>
      </c>
      <c r="J73" s="521">
        <v>392.072</v>
      </c>
      <c r="K73" s="287">
        <f t="shared" si="12"/>
        <v>-0.12438975366817784</v>
      </c>
      <c r="L73" s="521">
        <v>0</v>
      </c>
      <c r="M73" s="287">
        <f t="shared" si="12"/>
        <v>-1</v>
      </c>
      <c r="N73" s="521">
        <v>975.35790500000007</v>
      </c>
      <c r="O73" s="287">
        <f t="shared" si="12"/>
        <v>0</v>
      </c>
      <c r="P73" s="521">
        <v>438.04</v>
      </c>
      <c r="Q73" s="287">
        <f t="shared" si="12"/>
        <v>-0.55089306422343498</v>
      </c>
      <c r="R73" s="1023">
        <f>C_BS!BZ76</f>
        <v>0</v>
      </c>
      <c r="S73" s="513">
        <f t="shared" si="12"/>
        <v>-1</v>
      </c>
      <c r="T73" s="1023">
        <f>C_BS!CL76</f>
        <v>0</v>
      </c>
      <c r="U73" s="513">
        <f>C_BS!CN76</f>
        <v>0</v>
      </c>
      <c r="V73" s="7"/>
      <c r="W73" s="7"/>
      <c r="X73" s="7"/>
      <c r="Y73" s="7"/>
      <c r="Z73" s="7"/>
      <c r="AA73" s="7"/>
      <c r="AB73" s="25"/>
      <c r="AC73" s="7"/>
      <c r="AD73" s="7"/>
      <c r="AE73" s="7"/>
      <c r="AF73" s="7"/>
      <c r="AG73" s="7"/>
      <c r="AH73" s="7"/>
      <c r="AI73" s="7"/>
      <c r="AJ73" s="7"/>
      <c r="AK73" s="7"/>
      <c r="AL73" s="7"/>
      <c r="AM73" s="7"/>
      <c r="AN73" s="25"/>
      <c r="AO73" s="7"/>
      <c r="AP73" s="7"/>
      <c r="AQ73" s="7"/>
      <c r="AR73" s="7"/>
      <c r="AS73" s="7"/>
      <c r="AT73" s="7"/>
      <c r="AU73" s="7"/>
      <c r="AV73" s="7"/>
      <c r="AW73" s="7"/>
      <c r="AX73" s="7"/>
      <c r="AY73" s="7"/>
      <c r="AZ73" s="25"/>
      <c r="BA73" s="7"/>
      <c r="BB73" s="7"/>
      <c r="BC73" s="7"/>
      <c r="BD73" s="7"/>
      <c r="BE73" s="7"/>
      <c r="BF73" s="7"/>
      <c r="BG73" s="7"/>
      <c r="BH73" s="7"/>
      <c r="BI73" s="7"/>
      <c r="BJ73" s="7"/>
      <c r="BK73" s="7"/>
      <c r="BL73" s="25"/>
      <c r="BM73" s="7"/>
      <c r="BN73" s="7"/>
    </row>
    <row r="74" spans="1:66" s="29" customFormat="1" ht="16.2" customHeight="1">
      <c r="A74" s="380"/>
      <c r="B74" s="28"/>
      <c r="C74" s="512" t="s">
        <v>43</v>
      </c>
      <c r="D74" s="511" t="str">
        <f>C_BS!D77</f>
        <v>Advance received</v>
      </c>
      <c r="E74" s="521">
        <v>4252.2860000000001</v>
      </c>
      <c r="F74" s="521">
        <v>4952.232</v>
      </c>
      <c r="G74" s="287">
        <f>IFERROR(F74/E74-1,0)</f>
        <v>0.16460463854030505</v>
      </c>
      <c r="H74" s="521">
        <v>5253.0730000000003</v>
      </c>
      <c r="I74" s="287">
        <f t="shared" si="12"/>
        <v>6.0748567514607554E-2</v>
      </c>
      <c r="J74" s="521">
        <v>5187.5060000000003</v>
      </c>
      <c r="K74" s="287">
        <f t="shared" si="12"/>
        <v>-1.2481646457226048E-2</v>
      </c>
      <c r="L74" s="521">
        <v>5499.2839999999997</v>
      </c>
      <c r="M74" s="287">
        <f t="shared" si="12"/>
        <v>6.0101713617294994E-2</v>
      </c>
      <c r="N74" s="521">
        <v>5313.3263299999999</v>
      </c>
      <c r="O74" s="287">
        <f t="shared" si="12"/>
        <v>-3.3814887538086702E-2</v>
      </c>
      <c r="P74" s="521">
        <v>4634.01</v>
      </c>
      <c r="Q74" s="287">
        <f t="shared" si="12"/>
        <v>-0.12785142259462912</v>
      </c>
      <c r="R74" s="521">
        <f>C_BS!BZ77</f>
        <v>5287.1030000000001</v>
      </c>
      <c r="S74" s="513">
        <f t="shared" si="12"/>
        <v>0.14093474118528015</v>
      </c>
      <c r="T74" s="521">
        <f>C_BS!CL77</f>
        <v>4085.8714989999999</v>
      </c>
      <c r="U74" s="513">
        <f>C_BS!CN77</f>
        <v>-0.22720032142366064</v>
      </c>
      <c r="V74" s="7"/>
      <c r="W74" s="7"/>
      <c r="X74" s="7"/>
      <c r="Y74" s="7"/>
      <c r="Z74" s="7"/>
      <c r="AA74" s="7"/>
      <c r="AC74" s="15"/>
      <c r="AD74" s="15"/>
      <c r="AE74" s="7"/>
      <c r="AF74" s="7"/>
      <c r="AG74" s="7"/>
      <c r="AH74" s="7"/>
      <c r="AI74" s="7"/>
      <c r="AJ74" s="7"/>
      <c r="AK74" s="7"/>
      <c r="AL74" s="7"/>
      <c r="AM74" s="7"/>
      <c r="AO74" s="15"/>
      <c r="AP74" s="7"/>
      <c r="AQ74" s="7"/>
      <c r="AR74" s="7"/>
      <c r="AS74" s="7"/>
      <c r="AT74" s="7"/>
      <c r="AU74" s="7"/>
      <c r="AV74" s="7"/>
      <c r="AW74" s="7"/>
      <c r="AX74" s="7"/>
      <c r="AY74" s="7"/>
      <c r="BA74" s="15"/>
      <c r="BB74" s="7"/>
      <c r="BC74" s="7"/>
      <c r="BD74" s="7"/>
      <c r="BE74" s="7"/>
      <c r="BF74" s="7"/>
      <c r="BG74" s="7"/>
      <c r="BH74" s="7"/>
      <c r="BI74" s="7"/>
      <c r="BJ74" s="7"/>
      <c r="BK74" s="7"/>
      <c r="BM74" s="7"/>
      <c r="BN74" s="7"/>
    </row>
    <row r="75" spans="1:66" ht="16.95" customHeight="1">
      <c r="B75" s="30"/>
      <c r="C75" s="512" t="s">
        <v>392</v>
      </c>
      <c r="D75" s="511" t="str">
        <f>C_BS!D78</f>
        <v>Provision for Sales Returns</v>
      </c>
      <c r="E75" s="521">
        <f>ROUND(SUM(E72:E74),0)</f>
        <v>4523</v>
      </c>
      <c r="F75" s="521">
        <f>ROUND(SUM(F72:F74),0)</f>
        <v>5178</v>
      </c>
      <c r="G75" s="287">
        <f>IFERROR(F75/E75-1,0)</f>
        <v>0.14481538801680305</v>
      </c>
      <c r="H75" s="521">
        <f>ROUND(SUM(H72:H74),0)</f>
        <v>6166</v>
      </c>
      <c r="I75" s="287">
        <f t="shared" si="12"/>
        <v>0.19080726149092309</v>
      </c>
      <c r="J75" s="521">
        <f>ROUND(SUM(J72:J74),0)</f>
        <v>6641</v>
      </c>
      <c r="K75" s="287">
        <f t="shared" si="12"/>
        <v>7.7035355173532327E-2</v>
      </c>
      <c r="L75" s="521">
        <f>ROUND(SUM(L72:L74),0)</f>
        <v>6743</v>
      </c>
      <c r="M75" s="287">
        <f t="shared" si="12"/>
        <v>1.5359132660743846E-2</v>
      </c>
      <c r="N75" s="521">
        <f>ROUND(SUM(N72:N74),0)</f>
        <v>6293</v>
      </c>
      <c r="O75" s="287">
        <f t="shared" si="12"/>
        <v>-6.6735874239952531E-2</v>
      </c>
      <c r="P75" s="521">
        <f>ROUND(SUM(P72:P74),0)</f>
        <v>5072</v>
      </c>
      <c r="Q75" s="287">
        <f t="shared" si="12"/>
        <v>-0.19402510726203714</v>
      </c>
      <c r="R75" s="521">
        <f>ROUND(SUM(R72:R74),0)</f>
        <v>5307</v>
      </c>
      <c r="S75" s="513">
        <f t="shared" si="12"/>
        <v>4.6332807570977907E-2</v>
      </c>
      <c r="T75" s="1023">
        <f>C_BS!CL78</f>
        <v>0</v>
      </c>
      <c r="U75" s="513">
        <f>C_BS!CN78</f>
        <v>-1</v>
      </c>
    </row>
    <row r="76" spans="1:66" ht="16.95" customHeight="1">
      <c r="C76" s="516"/>
      <c r="D76" s="517"/>
      <c r="E76" s="522" t="b">
        <f>E71=E75</f>
        <v>1</v>
      </c>
      <c r="F76" s="522" t="b">
        <f>F71=F75</f>
        <v>1</v>
      </c>
      <c r="G76" s="523"/>
      <c r="H76" s="522" t="b">
        <f>H71=H75</f>
        <v>1</v>
      </c>
      <c r="I76" s="523"/>
      <c r="J76" s="522" t="b">
        <f>J71=J75</f>
        <v>1</v>
      </c>
      <c r="K76" s="523"/>
      <c r="L76" s="522" t="b">
        <f>L71=L75</f>
        <v>1</v>
      </c>
      <c r="M76" s="523"/>
      <c r="N76" s="522" t="b">
        <f>N71=N75</f>
        <v>1</v>
      </c>
      <c r="O76" s="523"/>
      <c r="P76" s="522" t="b">
        <f>P75=P71</f>
        <v>1</v>
      </c>
      <c r="Q76" s="523"/>
      <c r="R76" s="522" t="b">
        <f>R75=R71</f>
        <v>1</v>
      </c>
      <c r="S76" s="524"/>
      <c r="T76" s="522">
        <f>C_BS!CL79</f>
        <v>4937</v>
      </c>
      <c r="U76" s="524">
        <f>C_BS!CN79</f>
        <v>-0.1072332730560579</v>
      </c>
    </row>
    <row r="77" spans="1:66" ht="16.95" customHeight="1">
      <c r="E77" s="425"/>
      <c r="F77" s="425"/>
      <c r="G77" s="275"/>
      <c r="H77" s="425"/>
      <c r="I77" s="275"/>
      <c r="J77" s="425"/>
      <c r="K77" s="275"/>
      <c r="L77" s="425"/>
      <c r="M77" s="275"/>
      <c r="N77" s="425"/>
      <c r="O77" s="275"/>
      <c r="P77" s="425"/>
      <c r="Q77" s="275"/>
      <c r="R77" s="425"/>
      <c r="S77" s="275"/>
      <c r="T77" s="425"/>
      <c r="U77" s="275"/>
    </row>
    <row r="78" spans="1:66" ht="13.8" customHeight="1">
      <c r="E78" s="275"/>
      <c r="F78" s="275"/>
      <c r="G78" s="275"/>
      <c r="H78" s="275"/>
      <c r="I78" s="275"/>
      <c r="J78" s="275"/>
      <c r="K78" s="275"/>
      <c r="L78" s="275"/>
      <c r="M78" s="275"/>
      <c r="N78" s="275"/>
      <c r="O78" s="275"/>
      <c r="P78" s="275"/>
      <c r="Q78" s="275"/>
      <c r="R78" s="275"/>
      <c r="S78" s="275"/>
      <c r="T78" s="275"/>
      <c r="U78" s="275"/>
    </row>
    <row r="79" spans="1:66" ht="16.95" customHeight="1">
      <c r="C79" s="581" t="str">
        <f>C28</f>
        <v>기타채무</v>
      </c>
      <c r="D79" s="569" t="str">
        <f>C_BS!D82</f>
        <v>Other Liabilities</v>
      </c>
      <c r="E79" s="570"/>
      <c r="F79" s="570"/>
      <c r="G79" s="571"/>
      <c r="H79" s="570"/>
      <c r="I79" s="571"/>
      <c r="J79" s="570"/>
      <c r="K79" s="571"/>
      <c r="L79" s="570"/>
      <c r="M79" s="571"/>
      <c r="N79" s="570"/>
      <c r="O79" s="571"/>
      <c r="P79" s="1021">
        <f>C_BS!BN82</f>
        <v>0</v>
      </c>
      <c r="Q79" s="1022"/>
      <c r="R79" s="618">
        <v>11034.160042</v>
      </c>
      <c r="S79" s="572">
        <f t="shared" ref="S79:S84" si="13">IFERROR(R79/P79-1,0)</f>
        <v>0</v>
      </c>
      <c r="T79" s="618">
        <f>C_BS!CL82</f>
        <v>17129.642</v>
      </c>
      <c r="U79" s="572">
        <f>C_BS!CN82</f>
        <v>-0.17251258951261861</v>
      </c>
    </row>
    <row r="80" spans="1:66" ht="16.95" customHeight="1">
      <c r="C80" s="512" t="s">
        <v>372</v>
      </c>
      <c r="D80" s="511" t="str">
        <f>C_BS!D83</f>
        <v>Accounts Payable</v>
      </c>
      <c r="E80" s="521"/>
      <c r="F80" s="521"/>
      <c r="G80" s="287"/>
      <c r="H80" s="521"/>
      <c r="I80" s="287"/>
      <c r="J80" s="521"/>
      <c r="K80" s="287"/>
      <c r="L80" s="521"/>
      <c r="M80" s="287"/>
      <c r="N80" s="521"/>
      <c r="O80" s="287"/>
      <c r="P80" s="1023">
        <f>C_BS!BN83</f>
        <v>0</v>
      </c>
      <c r="Q80" s="1024"/>
      <c r="R80" s="521">
        <v>4709.9459999999999</v>
      </c>
      <c r="S80" s="513">
        <f t="shared" si="13"/>
        <v>0</v>
      </c>
      <c r="T80" s="521">
        <f>C_BS!CL83</f>
        <v>8795.7520000000004</v>
      </c>
      <c r="U80" s="513">
        <f>C_BS!CN83</f>
        <v>-0.32869548254120196</v>
      </c>
    </row>
    <row r="81" spans="3:21" ht="16.95" customHeight="1">
      <c r="C81" s="512" t="s">
        <v>371</v>
      </c>
      <c r="D81" s="511" t="str">
        <f>C_BS!D84</f>
        <v>Accrued Expenses</v>
      </c>
      <c r="E81" s="521"/>
      <c r="F81" s="521"/>
      <c r="G81" s="287"/>
      <c r="H81" s="521"/>
      <c r="I81" s="287"/>
      <c r="J81" s="521"/>
      <c r="K81" s="287"/>
      <c r="L81" s="521"/>
      <c r="M81" s="287"/>
      <c r="N81" s="521"/>
      <c r="O81" s="287"/>
      <c r="P81" s="1023">
        <f>C_BS!BN84</f>
        <v>0</v>
      </c>
      <c r="Q81" s="1024"/>
      <c r="R81" s="521">
        <v>5789.7089999999998</v>
      </c>
      <c r="S81" s="513">
        <f t="shared" si="13"/>
        <v>0</v>
      </c>
      <c r="T81" s="521">
        <f>C_BS!CL84</f>
        <v>7876.1149999999998</v>
      </c>
      <c r="U81" s="513">
        <f>C_BS!CN84</f>
        <v>0.11499751691583393</v>
      </c>
    </row>
    <row r="82" spans="3:21" ht="16.95" customHeight="1">
      <c r="C82" s="512" t="s">
        <v>373</v>
      </c>
      <c r="D82" s="511" t="str">
        <f>C_BS!D85</f>
        <v>Deposits Received</v>
      </c>
      <c r="E82" s="521"/>
      <c r="F82" s="521"/>
      <c r="G82" s="287"/>
      <c r="H82" s="521"/>
      <c r="I82" s="287"/>
      <c r="J82" s="521"/>
      <c r="K82" s="287"/>
      <c r="L82" s="521"/>
      <c r="M82" s="287"/>
      <c r="N82" s="521"/>
      <c r="O82" s="287"/>
      <c r="P82" s="1023">
        <f>C_BS!BN85</f>
        <v>0</v>
      </c>
      <c r="Q82" s="1024"/>
      <c r="R82" s="521">
        <v>534.505</v>
      </c>
      <c r="S82" s="513">
        <f t="shared" si="13"/>
        <v>0</v>
      </c>
      <c r="T82" s="521">
        <f>C_BS!CL85</f>
        <v>457.77499999999998</v>
      </c>
      <c r="U82" s="513">
        <f>C_BS!CN85</f>
        <v>-0.14355177884543435</v>
      </c>
    </row>
    <row r="83" spans="3:21" ht="16.95" customHeight="1">
      <c r="C83" s="512" t="s">
        <v>394</v>
      </c>
      <c r="D83" s="511" t="str">
        <f>C_BS!D86</f>
        <v>Dividends Payable</v>
      </c>
      <c r="E83" s="521"/>
      <c r="F83" s="521"/>
      <c r="G83" s="287"/>
      <c r="H83" s="521"/>
      <c r="I83" s="287"/>
      <c r="J83" s="521"/>
      <c r="K83" s="287"/>
      <c r="L83" s="521"/>
      <c r="M83" s="287"/>
      <c r="N83" s="521"/>
      <c r="O83" s="287"/>
      <c r="P83" s="1023">
        <f>C_BS!BN86</f>
        <v>0</v>
      </c>
      <c r="Q83" s="1024"/>
      <c r="R83" s="521">
        <v>0</v>
      </c>
      <c r="S83" s="513">
        <f t="shared" si="13"/>
        <v>0</v>
      </c>
      <c r="T83" s="521">
        <f>C_BS!CL86</f>
        <v>0</v>
      </c>
      <c r="U83" s="513">
        <f>C_BS!CN86</f>
        <v>0</v>
      </c>
    </row>
    <row r="84" spans="3:21" ht="16.95" customHeight="1">
      <c r="C84" s="516"/>
      <c r="D84" s="517"/>
      <c r="E84" s="522"/>
      <c r="F84" s="522"/>
      <c r="G84" s="523"/>
      <c r="H84" s="522"/>
      <c r="I84" s="523"/>
      <c r="J84" s="522"/>
      <c r="K84" s="523"/>
      <c r="L84" s="522"/>
      <c r="M84" s="523"/>
      <c r="N84" s="522"/>
      <c r="O84" s="523"/>
      <c r="P84" s="1025">
        <f>C_BS!BN87</f>
        <v>0</v>
      </c>
      <c r="Q84" s="1026"/>
      <c r="R84" s="522">
        <v>11034.159999999998</v>
      </c>
      <c r="S84" s="524">
        <f t="shared" si="13"/>
        <v>0</v>
      </c>
      <c r="T84" s="522">
        <f>C_BS!CL87</f>
        <v>17129.642</v>
      </c>
      <c r="U84" s="524">
        <f>C_BS!CN87</f>
        <v>-0.17251212357874302</v>
      </c>
    </row>
    <row r="85" spans="3:21" ht="16.95" customHeight="1">
      <c r="E85" s="275"/>
      <c r="F85" s="275"/>
      <c r="G85" s="275"/>
      <c r="H85" s="275"/>
      <c r="I85" s="275"/>
      <c r="J85" s="275"/>
      <c r="K85" s="275"/>
      <c r="L85" s="275"/>
      <c r="M85" s="275"/>
      <c r="N85" s="275"/>
      <c r="O85" s="275"/>
      <c r="P85" s="275"/>
      <c r="Q85" s="275"/>
      <c r="R85" s="275" t="b">
        <v>1</v>
      </c>
      <c r="S85" s="275"/>
      <c r="T85" s="275"/>
      <c r="U85" s="275"/>
    </row>
    <row r="86" spans="3:21" ht="16.95" customHeight="1">
      <c r="C86" s="581" t="str">
        <f>C_BS!C90</f>
        <v>자본조정</v>
      </c>
      <c r="D86" s="569" t="str">
        <f>C_BS!D90</f>
        <v>Capital Adjustments</v>
      </c>
      <c r="E86" s="570"/>
      <c r="F86" s="570"/>
      <c r="G86" s="571"/>
      <c r="H86" s="570"/>
      <c r="I86" s="571"/>
      <c r="J86" s="570"/>
      <c r="K86" s="571"/>
      <c r="L86" s="570"/>
      <c r="M86" s="571"/>
      <c r="N86" s="570"/>
      <c r="O86" s="571"/>
      <c r="P86" s="618">
        <f>C_BS!BN90</f>
        <v>-18253.885541</v>
      </c>
      <c r="Q86" s="571"/>
      <c r="R86" s="618">
        <v>-1920.633503</v>
      </c>
      <c r="S86" s="572">
        <f>IFERROR(R86/P86-1,0)</f>
        <v>-0.89478220959115418</v>
      </c>
      <c r="T86" s="618">
        <f>C_BS!CL90</f>
        <v>-11307</v>
      </c>
      <c r="U86" s="572">
        <f>C_BS!CN90</f>
        <v>-3.3484503740237459</v>
      </c>
    </row>
    <row r="87" spans="3:21" ht="16.95" customHeight="1">
      <c r="C87" s="512" t="str">
        <f>C_BS!C91</f>
        <v xml:space="preserve"> 주식선택권</v>
      </c>
      <c r="D87" s="511" t="str">
        <f>C_BS!D91</f>
        <v>Share-based Payment</v>
      </c>
      <c r="E87" s="521"/>
      <c r="F87" s="521"/>
      <c r="G87" s="287"/>
      <c r="H87" s="521"/>
      <c r="I87" s="287"/>
      <c r="J87" s="521"/>
      <c r="K87" s="287"/>
      <c r="L87" s="521"/>
      <c r="M87" s="287"/>
      <c r="N87" s="521"/>
      <c r="O87" s="287"/>
      <c r="P87" s="521">
        <f>C_BS!BN91</f>
        <v>1746.0989999999999</v>
      </c>
      <c r="Q87" s="287"/>
      <c r="R87" s="521">
        <v>7677.8059999999996</v>
      </c>
      <c r="S87" s="513">
        <f>IFERROR(R87/P87-1,0)</f>
        <v>3.3971195218598718</v>
      </c>
      <c r="T87" s="521">
        <f>C_BS!CL91</f>
        <v>6881.1639999999998</v>
      </c>
      <c r="U87" s="513">
        <f>C_BS!CN91</f>
        <v>0.36131469676404171</v>
      </c>
    </row>
    <row r="88" spans="3:21" ht="16.95" customHeight="1">
      <c r="C88" s="512" t="str">
        <f>C_BS!C92</f>
        <v xml:space="preserve"> 자기주식</v>
      </c>
      <c r="D88" s="511" t="str">
        <f>C_BS!D92</f>
        <v>Treasury Shares</v>
      </c>
      <c r="E88" s="521"/>
      <c r="F88" s="521"/>
      <c r="G88" s="287"/>
      <c r="H88" s="521"/>
      <c r="I88" s="287"/>
      <c r="J88" s="521"/>
      <c r="K88" s="287"/>
      <c r="L88" s="521"/>
      <c r="M88" s="287"/>
      <c r="N88" s="521"/>
      <c r="O88" s="287"/>
      <c r="P88" s="521">
        <f>C_BS!BN92</f>
        <v>-19999.985000000001</v>
      </c>
      <c r="Q88" s="287"/>
      <c r="R88" s="521">
        <v>-9596.8130000000001</v>
      </c>
      <c r="S88" s="513">
        <f>IFERROR(R88/P88-1,0)</f>
        <v>-0.5201589901192426</v>
      </c>
      <c r="T88" s="521">
        <f>C_BS!CL92</f>
        <v>-18407.0266133</v>
      </c>
      <c r="U88" s="513">
        <f>C_BS!CN92</f>
        <v>75.654742298098114</v>
      </c>
    </row>
    <row r="89" spans="3:21" ht="16.95" customHeight="1">
      <c r="C89" s="512" t="str">
        <f>C_BS!C93</f>
        <v xml:space="preserve"> 자기주식처분손실</v>
      </c>
      <c r="D89" s="511" t="str">
        <f>C_BS!D93</f>
        <v>Loss on Disposal of Treasury Shares</v>
      </c>
      <c r="E89" s="521"/>
      <c r="F89" s="521"/>
      <c r="G89" s="287"/>
      <c r="H89" s="521"/>
      <c r="I89" s="287"/>
      <c r="J89" s="521"/>
      <c r="K89" s="287"/>
      <c r="L89" s="521"/>
      <c r="M89" s="287"/>
      <c r="N89" s="521"/>
      <c r="O89" s="287"/>
      <c r="P89" s="1023">
        <f>C_BS!BN93</f>
        <v>0</v>
      </c>
      <c r="Q89" s="287"/>
      <c r="R89" s="521">
        <v>-1.6259999999999999</v>
      </c>
      <c r="S89" s="513">
        <f>IFERROR(R89/P89-1,0)</f>
        <v>0</v>
      </c>
      <c r="T89" s="521">
        <f>C_BS!CL93</f>
        <v>-1.25</v>
      </c>
      <c r="U89" s="513">
        <f>C_BS!CN93</f>
        <v>0</v>
      </c>
    </row>
    <row r="90" spans="3:21" ht="16.95" customHeight="1">
      <c r="C90" s="516"/>
      <c r="D90" s="517"/>
      <c r="E90" s="522"/>
      <c r="F90" s="522"/>
      <c r="G90" s="523"/>
      <c r="H90" s="522"/>
      <c r="I90" s="523"/>
      <c r="J90" s="522"/>
      <c r="K90" s="523"/>
      <c r="L90" s="522"/>
      <c r="M90" s="523"/>
      <c r="N90" s="522"/>
      <c r="O90" s="523"/>
      <c r="P90" s="522">
        <f>C_BS!BN95</f>
        <v>-18253.886000000002</v>
      </c>
      <c r="Q90" s="523"/>
      <c r="R90" s="522">
        <v>-1920.6330000000005</v>
      </c>
      <c r="S90" s="524">
        <f>IFERROR(R90/P90-1,0)</f>
        <v>-0.89478223979266658</v>
      </c>
      <c r="T90" s="522">
        <f>C_BS!CL95</f>
        <v>-11306.7196133</v>
      </c>
      <c r="U90" s="524">
        <f>C_BS!CN95</f>
        <v>-3.348392247787177</v>
      </c>
    </row>
    <row r="91" spans="3:21" ht="16.95" customHeight="1">
      <c r="E91" s="274"/>
      <c r="F91" s="274"/>
      <c r="G91" s="275"/>
      <c r="H91" s="274"/>
      <c r="I91" s="275"/>
      <c r="J91" s="274"/>
      <c r="K91" s="275"/>
      <c r="L91" s="274"/>
      <c r="M91" s="275"/>
      <c r="N91" s="274"/>
      <c r="O91" s="275"/>
      <c r="P91" s="274"/>
      <c r="Q91" s="275"/>
      <c r="R91" s="274" t="b">
        <v>1</v>
      </c>
      <c r="S91" s="275"/>
      <c r="T91" s="274"/>
      <c r="U91" s="275"/>
    </row>
    <row r="92" spans="3:21" ht="16.95" customHeight="1">
      <c r="C92" s="581" t="str">
        <f>C_BS!C98</f>
        <v>매출채권 및 기타채권 총액</v>
      </c>
      <c r="D92" s="569" t="str">
        <f>C_BS!D98</f>
        <v>Accounts and Other Receivables</v>
      </c>
      <c r="E92" s="570"/>
      <c r="F92" s="570"/>
      <c r="G92" s="571"/>
      <c r="H92" s="570"/>
      <c r="I92" s="571"/>
      <c r="J92" s="570"/>
      <c r="K92" s="571"/>
      <c r="L92" s="570"/>
      <c r="M92" s="571"/>
      <c r="N92" s="570"/>
      <c r="O92" s="571"/>
      <c r="P92" s="618">
        <f>C_BS!BN98</f>
        <v>17710.839999999997</v>
      </c>
      <c r="Q92" s="571"/>
      <c r="R92" s="618">
        <f>C_BS!BZ98</f>
        <v>38651.089999999989</v>
      </c>
      <c r="S92" s="572">
        <f>IFERROR(R92/P92-1,0)</f>
        <v>1.1823408714662884</v>
      </c>
      <c r="T92" s="618">
        <f>C_BS!CL98</f>
        <v>81472.063999999998</v>
      </c>
      <c r="U92" s="572">
        <f>C_BS!CN98</f>
        <v>1.1078852886166994</v>
      </c>
    </row>
    <row r="93" spans="3:21" ht="16.95" customHeight="1">
      <c r="C93" s="512" t="s">
        <v>447</v>
      </c>
      <c r="D93" s="511" t="s">
        <v>449</v>
      </c>
      <c r="E93" s="521"/>
      <c r="F93" s="521"/>
      <c r="G93" s="287"/>
      <c r="H93" s="521"/>
      <c r="I93" s="287"/>
      <c r="J93" s="521"/>
      <c r="K93" s="287"/>
      <c r="L93" s="521"/>
      <c r="M93" s="287"/>
      <c r="N93" s="521"/>
      <c r="O93" s="287"/>
      <c r="P93" s="521">
        <f>C_BS!BN99</f>
        <v>-641.80999999999995</v>
      </c>
      <c r="Q93" s="287"/>
      <c r="R93" s="521">
        <f>C_BS!BZ99</f>
        <v>-1852.47</v>
      </c>
      <c r="S93" s="513">
        <f>IFERROR(R93/P93-1,0)</f>
        <v>1.8863214970162514</v>
      </c>
      <c r="T93" s="521">
        <f>C_BS!CL99</f>
        <v>-1739.1189999999999</v>
      </c>
      <c r="U93" s="513">
        <f>C_BS!CN99</f>
        <v>-6.1189115073388534E-2</v>
      </c>
    </row>
    <row r="94" spans="3:21" ht="16.95" customHeight="1">
      <c r="C94" s="512" t="str">
        <f>C_BS!C100</f>
        <v>6개월이내</v>
      </c>
      <c r="D94" s="511" t="str">
        <f>C_BS!D100</f>
        <v>Within 6 months</v>
      </c>
      <c r="E94" s="521"/>
      <c r="F94" s="521"/>
      <c r="G94" s="287"/>
      <c r="H94" s="521"/>
      <c r="I94" s="287"/>
      <c r="J94" s="521"/>
      <c r="K94" s="287"/>
      <c r="L94" s="521"/>
      <c r="M94" s="287"/>
      <c r="N94" s="521"/>
      <c r="O94" s="287"/>
      <c r="P94" s="521">
        <f>C_BS!BN100</f>
        <v>18129.483</v>
      </c>
      <c r="Q94" s="287"/>
      <c r="R94" s="521">
        <f>C_BS!BZ100</f>
        <v>38352.642999999996</v>
      </c>
      <c r="S94" s="513">
        <f>IFERROR(R94/P94-1,0)</f>
        <v>1.1154846500586917</v>
      </c>
      <c r="T94" s="521">
        <f>C_BS!CL100</f>
        <v>51220.608</v>
      </c>
      <c r="U94" s="513">
        <f>C_BS!CN100</f>
        <v>0.33551703333718108</v>
      </c>
    </row>
    <row r="95" spans="3:21" ht="16.95" customHeight="1">
      <c r="C95" s="512" t="str">
        <f>C_BS!C101</f>
        <v>6개월초과~12개월이내</v>
      </c>
      <c r="D95" s="511" t="str">
        <f>C_BS!D101</f>
        <v>6 to 12 months</v>
      </c>
      <c r="E95" s="521"/>
      <c r="F95" s="521"/>
      <c r="G95" s="287"/>
      <c r="H95" s="521"/>
      <c r="I95" s="287"/>
      <c r="J95" s="521"/>
      <c r="K95" s="287"/>
      <c r="L95" s="521"/>
      <c r="M95" s="287"/>
      <c r="N95" s="521"/>
      <c r="O95" s="287"/>
      <c r="P95" s="521">
        <f>C_BS!BN101</f>
        <v>126.277</v>
      </c>
      <c r="Q95" s="287"/>
      <c r="R95" s="521">
        <f>C_BS!BZ101</f>
        <v>1466.0730000000001</v>
      </c>
      <c r="S95" s="513">
        <f>IFERROR(R95/P95-1,0)</f>
        <v>10.609976480277485</v>
      </c>
      <c r="T95" s="521">
        <f>C_BS!CL101</f>
        <v>1255.3679999999999</v>
      </c>
      <c r="U95" s="513">
        <f>C_BS!CN101</f>
        <v>-0.14372067420926526</v>
      </c>
    </row>
    <row r="96" spans="3:21" ht="16.95" customHeight="1">
      <c r="C96" s="574" t="str">
        <f>C_BS!C102</f>
        <v>1년초과</v>
      </c>
      <c r="D96" s="574" t="str">
        <f>C_BS!D102</f>
        <v>More than 12 months</v>
      </c>
      <c r="E96" s="573"/>
      <c r="F96" s="573"/>
      <c r="G96" s="577"/>
      <c r="H96" s="573"/>
      <c r="I96" s="577"/>
      <c r="J96" s="573"/>
      <c r="K96" s="577"/>
      <c r="L96" s="573"/>
      <c r="M96" s="577"/>
      <c r="N96" s="573"/>
      <c r="O96" s="577"/>
      <c r="P96" s="573">
        <f>C_BS!BN102</f>
        <v>96.89</v>
      </c>
      <c r="Q96" s="577"/>
      <c r="R96" s="573">
        <f>C_BS!BZ102</f>
        <v>684.84400000000005</v>
      </c>
      <c r="S96" s="578">
        <f>IFERROR(R96/P96-1,0)</f>
        <v>6.0682629786355662</v>
      </c>
      <c r="T96" s="573">
        <f>C_BS!CL102</f>
        <v>30735.206999999999</v>
      </c>
      <c r="U96" s="578">
        <f>C_BS!CN102</f>
        <v>43.879135978412599</v>
      </c>
    </row>
    <row r="97" spans="3:21" ht="16.2" customHeight="1"/>
    <row r="98" spans="3:21" ht="16.95" customHeight="1">
      <c r="C98" s="581" t="str">
        <f>C_BS!C105</f>
        <v>무형자산</v>
      </c>
      <c r="D98" s="569" t="str">
        <f>C_BS!D105</f>
        <v>Intangible Assets</v>
      </c>
      <c r="E98" s="570"/>
      <c r="F98" s="570"/>
      <c r="G98" s="571"/>
      <c r="H98" s="570"/>
      <c r="I98" s="571"/>
      <c r="J98" s="570"/>
      <c r="K98" s="571"/>
      <c r="L98" s="570"/>
      <c r="M98" s="571"/>
      <c r="N98" s="570"/>
      <c r="O98" s="571"/>
      <c r="P98" s="618">
        <f>C_BS!BN105</f>
        <v>2822.2968580000002</v>
      </c>
      <c r="Q98" s="571"/>
      <c r="R98" s="618">
        <f>C_BS!BZ105</f>
        <v>140947.98448300001</v>
      </c>
      <c r="S98" s="572">
        <f>IFERROR(R98/P98-1,0)</f>
        <v>48.940878502370495</v>
      </c>
      <c r="T98" s="618">
        <f>C_BS!CL105</f>
        <v>139635.1</v>
      </c>
      <c r="U98" s="572">
        <f>C_BS!CN105</f>
        <v>-9.3146736919700324E-3</v>
      </c>
    </row>
    <row r="99" spans="3:21" ht="16.95" customHeight="1">
      <c r="C99" s="512" t="str">
        <f>C_BS!C106</f>
        <v>건설중인무형자산</v>
      </c>
      <c r="D99" s="511" t="str">
        <f>C_BS!D106</f>
        <v>Intangible Assets Under Development</v>
      </c>
      <c r="E99" s="521"/>
      <c r="F99" s="521"/>
      <c r="G99" s="287"/>
      <c r="H99" s="521"/>
      <c r="I99" s="287"/>
      <c r="J99" s="521"/>
      <c r="K99" s="287"/>
      <c r="L99" s="521"/>
      <c r="M99" s="287"/>
      <c r="N99" s="521"/>
      <c r="O99" s="287"/>
      <c r="P99" s="521">
        <f>C_BS!BN106</f>
        <v>1368.367</v>
      </c>
      <c r="Q99" s="287"/>
      <c r="R99" s="521">
        <f>C_BS!BZ106</f>
        <v>6671.1289999999999</v>
      </c>
      <c r="S99" s="513">
        <f>IFERROR(R99/P99-1,0)</f>
        <v>3.8752483800033177</v>
      </c>
      <c r="T99" s="521">
        <f>C_BS!CL106</f>
        <v>10968.412</v>
      </c>
      <c r="U99" s="513">
        <f>C_BS!CN106</f>
        <v>0.64416128064679912</v>
      </c>
    </row>
    <row r="100" spans="3:21" ht="16.95" customHeight="1">
      <c r="C100" s="512" t="str">
        <f>C_BS!C107</f>
        <v>소프트웨어</v>
      </c>
      <c r="D100" s="511" t="str">
        <f>C_BS!D107</f>
        <v xml:space="preserve">Software </v>
      </c>
      <c r="E100" s="521"/>
      <c r="F100" s="521"/>
      <c r="G100" s="287"/>
      <c r="H100" s="521"/>
      <c r="I100" s="287"/>
      <c r="J100" s="521"/>
      <c r="K100" s="287"/>
      <c r="L100" s="521"/>
      <c r="M100" s="287"/>
      <c r="N100" s="521"/>
      <c r="O100" s="287"/>
      <c r="P100" s="521">
        <f>C_BS!BN107</f>
        <v>816.37199999999996</v>
      </c>
      <c r="Q100" s="287"/>
      <c r="R100" s="521">
        <f>C_BS!BZ107</f>
        <v>3239.0920000000001</v>
      </c>
      <c r="S100" s="513">
        <f>IFERROR(R100/P100-1,0)</f>
        <v>2.9676667009647564</v>
      </c>
      <c r="T100" s="521">
        <f>C_BS!CL107</f>
        <v>4891</v>
      </c>
      <c r="U100" s="513">
        <f>C_BS!CN107</f>
        <v>0.50999107157190959</v>
      </c>
    </row>
    <row r="101" spans="3:21" ht="16.95" customHeight="1">
      <c r="C101" s="512" t="str">
        <f>C_BS!C108</f>
        <v>기타</v>
      </c>
      <c r="D101" s="511" t="str">
        <f>C_BS!D108</f>
        <v>Others</v>
      </c>
      <c r="E101" s="521"/>
      <c r="F101" s="521"/>
      <c r="G101" s="287"/>
      <c r="H101" s="521"/>
      <c r="I101" s="287"/>
      <c r="J101" s="521"/>
      <c r="K101" s="287"/>
      <c r="L101" s="521"/>
      <c r="M101" s="287"/>
      <c r="N101" s="521"/>
      <c r="O101" s="287"/>
      <c r="P101" s="521">
        <f>C_BS!BN108</f>
        <v>1332.3288580000003</v>
      </c>
      <c r="Q101" s="287"/>
      <c r="R101" s="521">
        <f>C_BS!BZ108</f>
        <v>135138.41748300003</v>
      </c>
      <c r="S101" s="513">
        <f>IFERROR(R101/P101-1,0)</f>
        <v>100.4302262324787</v>
      </c>
      <c r="T101" s="521">
        <f>C_BS!CL108</f>
        <v>135474</v>
      </c>
      <c r="U101" s="513">
        <f>C_BS!CN108</f>
        <v>2.4832503092038216E-3</v>
      </c>
    </row>
    <row r="102" spans="3:21" ht="16.95" customHeight="1">
      <c r="C102" s="574" t="str">
        <f>C_BS!C109</f>
        <v>(-)감가상각누계액</v>
      </c>
      <c r="D102" s="574" t="str">
        <f>C_BS!D109</f>
        <v>Accumulated Amortization</v>
      </c>
      <c r="E102" s="573"/>
      <c r="F102" s="573"/>
      <c r="G102" s="577"/>
      <c r="H102" s="573"/>
      <c r="I102" s="577"/>
      <c r="J102" s="573"/>
      <c r="K102" s="577"/>
      <c r="L102" s="573"/>
      <c r="M102" s="577"/>
      <c r="N102" s="573"/>
      <c r="O102" s="577"/>
      <c r="P102" s="573">
        <f>C_BS!BN109</f>
        <v>-694.77099999999996</v>
      </c>
      <c r="Q102" s="577"/>
      <c r="R102" s="573">
        <f>C_BS!BZ109</f>
        <v>-4100.6540000000005</v>
      </c>
      <c r="S102" s="578">
        <f>IFERROR(R102/P102-1,0)</f>
        <v>4.9021663253071885</v>
      </c>
      <c r="T102" s="573">
        <f>C_BS!CL109</f>
        <v>-11697.633</v>
      </c>
      <c r="U102" s="578">
        <f>C_BS!CN109</f>
        <v>1.8526261908466304</v>
      </c>
    </row>
  </sheetData>
  <phoneticPr fontId="3" type="noConversion"/>
  <conditionalFormatting sqref="G55:G61 I55:I61 K55:K61 M55:M61 O55:O61 Q55:Q61 S55:S61">
    <cfRule type="cellIs" dxfId="31" priority="33" operator="lessThan">
      <formula>0</formula>
    </cfRule>
    <cfRule type="cellIs" dxfId="30" priority="34" operator="greaterThan">
      <formula>0</formula>
    </cfRule>
  </conditionalFormatting>
  <conditionalFormatting sqref="G64:G68 I64:I68 K64:K68 M64:M68 O64:O68 Q64:Q68 S64:S68">
    <cfRule type="cellIs" dxfId="29" priority="31" operator="lessThan">
      <formula>0</formula>
    </cfRule>
    <cfRule type="cellIs" dxfId="28" priority="32" operator="greaterThan">
      <formula>0</formula>
    </cfRule>
  </conditionalFormatting>
  <conditionalFormatting sqref="G71:G76 I71:I76 K71:K76 M71:M76 O71:O76 Q71:Q76 S71:S76">
    <cfRule type="cellIs" dxfId="27" priority="29" operator="lessThan">
      <formula>0</formula>
    </cfRule>
    <cfRule type="cellIs" dxfId="26" priority="30" operator="greaterThan">
      <formula>0</formula>
    </cfRule>
  </conditionalFormatting>
  <conditionalFormatting sqref="G79:G84 I79:I84 K79:K84 M79:M84 O79:O84 Q79:Q84 S79:S84">
    <cfRule type="cellIs" dxfId="25" priority="23" operator="lessThan">
      <formula>0</formula>
    </cfRule>
    <cfRule type="cellIs" dxfId="24" priority="24" operator="greaterThan">
      <formula>0</formula>
    </cfRule>
  </conditionalFormatting>
  <conditionalFormatting sqref="G86:G90 I86:I90 K86:K90 M86:M90 O86:O90 Q86:Q90 S86:S90">
    <cfRule type="cellIs" dxfId="23" priority="21" operator="lessThan">
      <formula>0</formula>
    </cfRule>
    <cfRule type="cellIs" dxfId="22" priority="22" operator="greaterThan">
      <formula>0</formula>
    </cfRule>
  </conditionalFormatting>
  <conditionalFormatting sqref="G92:G96 I92:I96 K92:K96 M92:M96 O92:O96 Q92:Q96 S92:S96">
    <cfRule type="cellIs" dxfId="21" priority="19" operator="lessThan">
      <formula>0</formula>
    </cfRule>
    <cfRule type="cellIs" dxfId="20" priority="20" operator="greaterThan">
      <formula>0</formula>
    </cfRule>
  </conditionalFormatting>
  <conditionalFormatting sqref="G98:G102 I98:I102 K98:K102 M98:M102 O98:O102 Q98:Q102 S98:S102">
    <cfRule type="cellIs" dxfId="19" priority="15" operator="lessThan">
      <formula>0</formula>
    </cfRule>
    <cfRule type="cellIs" dxfId="18" priority="16" operator="greaterThan">
      <formula>0</formula>
    </cfRule>
  </conditionalFormatting>
  <conditionalFormatting sqref="U55:U61">
    <cfRule type="cellIs" dxfId="17" priority="13" operator="lessThan">
      <formula>0</formula>
    </cfRule>
    <cfRule type="cellIs" dxfId="16" priority="14" operator="greaterThan">
      <formula>0</formula>
    </cfRule>
  </conditionalFormatting>
  <conditionalFormatting sqref="U64:U68">
    <cfRule type="cellIs" dxfId="15" priority="11" operator="lessThan">
      <formula>0</formula>
    </cfRule>
    <cfRule type="cellIs" dxfId="14" priority="12" operator="greaterThan">
      <formula>0</formula>
    </cfRule>
  </conditionalFormatting>
  <conditionalFormatting sqref="U71:U76">
    <cfRule type="cellIs" dxfId="13" priority="9" operator="lessThan">
      <formula>0</formula>
    </cfRule>
    <cfRule type="cellIs" dxfId="12" priority="10" operator="greaterThan">
      <formula>0</formula>
    </cfRule>
  </conditionalFormatting>
  <conditionalFormatting sqref="U79:U84">
    <cfRule type="cellIs" dxfId="11" priority="7" operator="lessThan">
      <formula>0</formula>
    </cfRule>
    <cfRule type="cellIs" dxfId="10" priority="8" operator="greaterThan">
      <formula>0</formula>
    </cfRule>
  </conditionalFormatting>
  <conditionalFormatting sqref="U86:U90">
    <cfRule type="cellIs" dxfId="9" priority="5" operator="lessThan">
      <formula>0</formula>
    </cfRule>
    <cfRule type="cellIs" dxfId="8" priority="6" operator="greaterThan">
      <formula>0</formula>
    </cfRule>
  </conditionalFormatting>
  <conditionalFormatting sqref="U92:U96">
    <cfRule type="cellIs" dxfId="7" priority="3" operator="lessThan">
      <formula>0</formula>
    </cfRule>
    <cfRule type="cellIs" dxfId="6" priority="4" operator="greaterThan">
      <formula>0</formula>
    </cfRule>
  </conditionalFormatting>
  <conditionalFormatting sqref="U98:U102">
    <cfRule type="cellIs" dxfId="5" priority="1" operator="lessThan">
      <formula>0</formula>
    </cfRule>
    <cfRule type="cellIs" dxfId="4" priority="2" operator="greaterThan">
      <formula>0</formula>
    </cfRule>
  </conditionalFormatting>
  <conditionalFormatting sqref="W55:X55 Z55:AA55 AC55:AD55 AF55:AG55 AI55:AJ55 AL55:AM55 AO55:AP55 AR55:AS55 AU55:AV55 AX55:AY55 BA55:BB55 BD55:BE55 BG55:BH55 BJ55:BK55 BM55:BN55 W64:X64 Z64:AA64 AC64:AD64 AF64:AG64 AI64:AJ64 AL64:AM64 AO64:AP64 AR64:AS64 AU64:AV64 AX64:AY64 BA64:BB64 BD64:BE64 BG64:BH64 BJ64:BK64 BM64:BN64 W71:X71 Z71:AA71 AC71:AD71 AF71:AG71 AI71:AJ71 AL71:AM71 AO71:AP71 AR71:AS71 AU71:AV71 AX71:AY71 BA71:BB71 BD71:BE71 BG71:BH71 BJ71:BK71 BM71:BN71">
    <cfRule type="cellIs" dxfId="3" priority="108" operator="lessThan">
      <formula>-0.1</formula>
    </cfRule>
    <cfRule type="cellIs" dxfId="2" priority="109" operator="greaterThan">
      <formula>0.1</formula>
    </cfRule>
  </conditionalFormatting>
  <pageMargins left="0.25" right="0.25" top="0.75" bottom="0.75" header="0.3" footer="0.3"/>
  <pageSetup paperSize="9" scale="60" fitToHeight="0" orientation="portrait"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32CCA7-3FE2-4EEB-8ADD-3EE2C5E3757E}">
  <sheetPr>
    <tabColor theme="8"/>
  </sheetPr>
  <dimension ref="A1"/>
  <sheetViews>
    <sheetView workbookViewId="0">
      <selection activeCell="D27" sqref="D27"/>
    </sheetView>
  </sheetViews>
  <sheetFormatPr defaultRowHeight="17.399999999999999"/>
  <sheetData>
    <row r="1" spans="1:1">
      <c r="A1" t="s">
        <v>174</v>
      </c>
    </row>
  </sheetData>
  <phoneticPr fontId="3"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80E27F-AD95-4CBC-847B-C455FC0DAA59}">
  <dimension ref="A1:P23"/>
  <sheetViews>
    <sheetView zoomScaleNormal="100" workbookViewId="0">
      <selection activeCell="E31" sqref="E31"/>
    </sheetView>
  </sheetViews>
  <sheetFormatPr defaultColWidth="8.69921875" defaultRowHeight="13.2"/>
  <cols>
    <col min="1" max="1" width="8.69921875" style="141"/>
    <col min="2" max="5" width="14.8984375" style="13" customWidth="1"/>
    <col min="6" max="6" width="14.8984375" style="443" customWidth="1"/>
    <col min="7" max="7" width="14.8984375" style="13" customWidth="1"/>
    <col min="8" max="8" width="14.8984375" style="443" customWidth="1"/>
    <col min="9" max="9" width="8.69921875" style="13" bestFit="1"/>
    <col min="10" max="10" width="10.296875" style="13" customWidth="1"/>
    <col min="11" max="11" width="11.5" style="13" bestFit="1" customWidth="1"/>
    <col min="12" max="12" width="8.796875" style="443" bestFit="1" customWidth="1"/>
    <col min="13" max="13" width="8.69921875" style="13"/>
    <col min="14" max="14" width="12.8984375" style="761" bestFit="1" customWidth="1"/>
    <col min="15" max="16" width="8.69921875" style="13"/>
    <col min="17" max="17" width="8.59765625" style="13" bestFit="1" customWidth="1"/>
    <col min="18" max="19" width="15.09765625" style="13" bestFit="1" customWidth="1"/>
    <col min="20" max="20" width="12.8984375" style="13" bestFit="1" customWidth="1"/>
    <col min="21" max="23" width="8.69921875" style="13"/>
    <col min="24" max="25" width="8.69921875" style="13" customWidth="1"/>
    <col min="26" max="16384" width="8.69921875" style="13"/>
  </cols>
  <sheetData>
    <row r="1" spans="1:16">
      <c r="B1" s="130" t="s">
        <v>195</v>
      </c>
      <c r="C1" s="13" t="s">
        <v>463</v>
      </c>
      <c r="O1" s="1"/>
      <c r="P1" s="1"/>
    </row>
    <row r="2" spans="1:16" s="1" customFormat="1">
      <c r="A2" s="142"/>
      <c r="B2" s="453"/>
      <c r="C2" s="455"/>
      <c r="D2" s="149" t="s">
        <v>475</v>
      </c>
      <c r="E2" s="149" t="s">
        <v>325</v>
      </c>
      <c r="F2" s="451" t="s">
        <v>77</v>
      </c>
      <c r="G2" s="149" t="s">
        <v>474</v>
      </c>
      <c r="H2" s="451" t="s">
        <v>9</v>
      </c>
      <c r="I2" s="694"/>
      <c r="J2" s="149" t="s">
        <v>478</v>
      </c>
      <c r="K2" s="149" t="s">
        <v>326</v>
      </c>
      <c r="L2" s="149" t="s">
        <v>0</v>
      </c>
      <c r="N2" s="907"/>
    </row>
    <row r="3" spans="1:16" s="1" customFormat="1">
      <c r="A3" s="142">
        <f>INDEX(Q_IS!$A$3:$A$23,MATCH(PL!C3,Q_IS!$C$3:$C$23,0))</f>
        <v>2</v>
      </c>
      <c r="B3" s="369" t="s">
        <v>82</v>
      </c>
      <c r="C3" s="369" t="s">
        <v>212</v>
      </c>
      <c r="D3" s="370">
        <f>HLOOKUP(D$2,Q_IS!$3:$23,$A3,0)</f>
        <v>105.515</v>
      </c>
      <c r="E3" s="370">
        <f>HLOOKUP(E$2,Q_IS!$3:$23,$A3,0)</f>
        <v>83.284000000000006</v>
      </c>
      <c r="F3" s="444">
        <f>D3/E3-1</f>
        <v>0.26693002257336329</v>
      </c>
      <c r="G3" s="370">
        <f>HLOOKUP(G$2,Q_IS!$3:$23,$A3,0)</f>
        <v>87.174999999999997</v>
      </c>
      <c r="H3" s="444">
        <f>D3/G3-1</f>
        <v>0.21038141669056509</v>
      </c>
      <c r="I3" s="695"/>
      <c r="J3" s="370">
        <f>HLOOKUP(J$2,C_IS!$3:$23,$A3,0)</f>
        <v>192.69</v>
      </c>
      <c r="K3" s="370">
        <f>HLOOKUP(K$2,C_IS!$3:$23,$A3,0)</f>
        <v>160.39699999999999</v>
      </c>
      <c r="L3" s="444">
        <f>J3/K3-1</f>
        <v>0.20133169572997001</v>
      </c>
      <c r="N3" s="907"/>
      <c r="O3" s="13"/>
      <c r="P3" s="13"/>
    </row>
    <row r="4" spans="1:16">
      <c r="A4" s="141">
        <f>INDEX(Q_IS!$A$3:$A$23,MATCH(PL!C4,Q_IS!$C$3:$C$23,0))</f>
        <v>3</v>
      </c>
      <c r="B4" s="12" t="s">
        <v>83</v>
      </c>
      <c r="C4" s="12" t="s">
        <v>78</v>
      </c>
      <c r="D4" s="364">
        <f>HLOOKUP(D$2,Q_IS!$3:$23,$A4,0)</f>
        <v>-28.998000000000001</v>
      </c>
      <c r="E4" s="364">
        <f>HLOOKUP(E$2,Q_IS!$3:$23,$A4,0)</f>
        <v>-19.265999999999998</v>
      </c>
      <c r="F4" s="445">
        <f t="shared" ref="F4:F10" si="0">D4/E4-1</f>
        <v>0.5051385861102462</v>
      </c>
      <c r="G4" s="364">
        <f>HLOOKUP(G$2,Q_IS!$3:$23,$A4,0)</f>
        <v>-22.126999999999999</v>
      </c>
      <c r="H4" s="445">
        <f t="shared" ref="H4:H10" si="1">D4/G4-1</f>
        <v>0.31052560220545056</v>
      </c>
      <c r="I4" s="696"/>
      <c r="J4" s="364">
        <f>HLOOKUP(J$2,C_IS!$3:$23,$A4,0)</f>
        <v>-51.125</v>
      </c>
      <c r="K4" s="364">
        <f>HLOOKUP(K$2,C_IS!$3:$23,$A4,0)</f>
        <v>-35.051000000000002</v>
      </c>
      <c r="L4" s="445">
        <f t="shared" ref="L4:L10" si="2">J4/K4-1</f>
        <v>0.45858891329776608</v>
      </c>
    </row>
    <row r="5" spans="1:16">
      <c r="B5" s="12" t="s">
        <v>79</v>
      </c>
      <c r="C5" s="12" t="s">
        <v>79</v>
      </c>
      <c r="D5" s="365">
        <f>IFERROR(D4/(-D$3),)</f>
        <v>0.27482348481258589</v>
      </c>
      <c r="E5" s="365">
        <f>IFERROR(E4/(-E$3),)</f>
        <v>0.23132894673646795</v>
      </c>
      <c r="F5" s="448">
        <f>D5-E5</f>
        <v>4.3494538076117945E-2</v>
      </c>
      <c r="G5" s="365">
        <f>IFERROR(G4/(-G$3),)</f>
        <v>0.25382277028964728</v>
      </c>
      <c r="H5" s="448">
        <f>D5-G5</f>
        <v>2.1000714522938613E-2</v>
      </c>
      <c r="I5" s="696"/>
      <c r="J5" s="365">
        <f>IFERROR(J4/(-J$3),)</f>
        <v>0.26532253879287976</v>
      </c>
      <c r="K5" s="365">
        <f>IFERROR(K4/(-K$3),)</f>
        <v>0.21852653104484501</v>
      </c>
      <c r="L5" s="448">
        <f>J5-K5</f>
        <v>4.6796007748034746E-2</v>
      </c>
      <c r="O5" s="1"/>
      <c r="P5" s="1"/>
    </row>
    <row r="6" spans="1:16" s="1" customFormat="1">
      <c r="A6" s="142">
        <f>INDEX(Q_IS!$A$3:$A$23,MATCH(PL!C6,Q_IS!$C$3:$C$23,0))</f>
        <v>5</v>
      </c>
      <c r="B6" s="839" t="s">
        <v>84</v>
      </c>
      <c r="C6" s="839" t="s">
        <v>276</v>
      </c>
      <c r="D6" s="840">
        <f>HLOOKUP(D$2,Q_IS!$3:$23,$A6,0)</f>
        <v>76.516999999999996</v>
      </c>
      <c r="E6" s="840">
        <f>HLOOKUP(E$2,Q_IS!$3:$23,$A6,0)</f>
        <v>64.018000000000001</v>
      </c>
      <c r="F6" s="841">
        <f t="shared" si="0"/>
        <v>0.19524196319785059</v>
      </c>
      <c r="G6" s="840">
        <f>HLOOKUP(G$2,Q_IS!$3:$23,$A6,0)</f>
        <v>65.048000000000002</v>
      </c>
      <c r="H6" s="841">
        <f t="shared" si="1"/>
        <v>0.17631595129750322</v>
      </c>
      <c r="I6" s="695"/>
      <c r="J6" s="840">
        <f>HLOOKUP(J$2,C_IS!$3:$23,$A6,0)</f>
        <v>141.565</v>
      </c>
      <c r="K6" s="840">
        <f>HLOOKUP(K$2,C_IS!$3:$23,$A6,0)</f>
        <v>125.346</v>
      </c>
      <c r="L6" s="841">
        <f t="shared" si="2"/>
        <v>0.12939383785681224</v>
      </c>
      <c r="N6" s="907"/>
    </row>
    <row r="7" spans="1:16" s="1" customFormat="1">
      <c r="A7" s="142"/>
      <c r="B7" s="839" t="s">
        <v>79</v>
      </c>
      <c r="C7" s="839" t="s">
        <v>79</v>
      </c>
      <c r="D7" s="842">
        <f>D6/D$3</f>
        <v>0.72517651518741411</v>
      </c>
      <c r="E7" s="842">
        <f>E6/E$3</f>
        <v>0.76867105326353191</v>
      </c>
      <c r="F7" s="843">
        <f>D7-E7</f>
        <v>-4.3494538076117806E-2</v>
      </c>
      <c r="G7" s="842">
        <f>G6/G$3</f>
        <v>0.74617722971035283</v>
      </c>
      <c r="H7" s="843">
        <f>D7-G7</f>
        <v>-2.1000714522938724E-2</v>
      </c>
      <c r="I7" s="695"/>
      <c r="J7" s="842">
        <f>J6/J$3</f>
        <v>0.7346774612071203</v>
      </c>
      <c r="K7" s="842">
        <f>K6/K$3</f>
        <v>0.78147346895515513</v>
      </c>
      <c r="L7" s="843">
        <f>J7-K7</f>
        <v>-4.6796007748034829E-2</v>
      </c>
      <c r="N7" s="907"/>
      <c r="O7" s="13"/>
      <c r="P7" s="13"/>
    </row>
    <row r="8" spans="1:16">
      <c r="A8" s="141">
        <f>INDEX(Q_IS!$A$3:$A$23,MATCH(PL!C8,Q_IS!$C$3:$C$23,0))</f>
        <v>7</v>
      </c>
      <c r="B8" s="12" t="s">
        <v>85</v>
      </c>
      <c r="C8" s="12" t="s">
        <v>80</v>
      </c>
      <c r="D8" s="364">
        <f>HLOOKUP(D$2,Q_IS!$3:$23,$A8,0)</f>
        <v>-32.576999999999998</v>
      </c>
      <c r="E8" s="364">
        <f>HLOOKUP(E$2,Q_IS!$3:$23,$A8,0)</f>
        <v>-21.007000000000001</v>
      </c>
      <c r="F8" s="445">
        <f t="shared" si="0"/>
        <v>0.55076879135526235</v>
      </c>
      <c r="G8" s="364">
        <f>HLOOKUP(G$2,Q_IS!$3:$23,$A8,0)</f>
        <v>-27.849</v>
      </c>
      <c r="H8" s="445">
        <f t="shared" si="1"/>
        <v>0.16977270279004619</v>
      </c>
      <c r="I8" s="696"/>
      <c r="J8" s="364">
        <f>HLOOKUP(J$2,C_IS!$3:$23,$A8,0)</f>
        <v>-60.426000000000002</v>
      </c>
      <c r="K8" s="364">
        <f>HLOOKUP(K$2,C_IS!$3:$23,$A8,0)</f>
        <v>-43.552999999999997</v>
      </c>
      <c r="L8" s="445">
        <f t="shared" si="2"/>
        <v>0.38741303698941532</v>
      </c>
    </row>
    <row r="9" spans="1:16">
      <c r="B9" s="12" t="s">
        <v>79</v>
      </c>
      <c r="C9" s="12" t="s">
        <v>79</v>
      </c>
      <c r="D9" s="365">
        <f>IFERROR(D8/(-D$3),)</f>
        <v>0.30874283277259157</v>
      </c>
      <c r="E9" s="365">
        <f>IFERROR(E8/(-E$3),)</f>
        <v>0.25223332212669902</v>
      </c>
      <c r="F9" s="448">
        <f>D9-E9</f>
        <v>5.6509510645892547E-2</v>
      </c>
      <c r="G9" s="365">
        <f>IFERROR(G8/(-G$3),)</f>
        <v>0.31946085460281043</v>
      </c>
      <c r="H9" s="448">
        <f>D9-G9</f>
        <v>-1.071802183021886E-2</v>
      </c>
      <c r="I9" s="697"/>
      <c r="J9" s="365">
        <f>IFERROR(J8/(-J$3),)</f>
        <v>0.31359177954226997</v>
      </c>
      <c r="K9" s="365">
        <f>IFERROR(K8/(-K$3),)</f>
        <v>0.2715325099596626</v>
      </c>
      <c r="L9" s="448">
        <f>J9-K9</f>
        <v>4.2059269582607361E-2</v>
      </c>
      <c r="O9" s="1"/>
      <c r="P9" s="1"/>
    </row>
    <row r="10" spans="1:16" s="1" customFormat="1">
      <c r="A10" s="142">
        <f>INDEX(Q_IS!$A$3:$A$23,MATCH(PL!C10,Q_IS!$C$3:$C$23,0))</f>
        <v>9</v>
      </c>
      <c r="B10" s="839" t="s">
        <v>86</v>
      </c>
      <c r="C10" s="839" t="s">
        <v>277</v>
      </c>
      <c r="D10" s="840">
        <f>HLOOKUP(D$2,Q_IS!$3:$23,$A10,0)</f>
        <v>43.94</v>
      </c>
      <c r="E10" s="840">
        <f>HLOOKUP(E$2,Q_IS!$3:$23,$A10,0)</f>
        <v>43.010999999999996</v>
      </c>
      <c r="F10" s="841">
        <f t="shared" si="0"/>
        <v>2.1599125805026764E-2</v>
      </c>
      <c r="G10" s="840">
        <f>HLOOKUP(G$2,Q_IS!$3:$23,$A10,0)</f>
        <v>37.198999999999998</v>
      </c>
      <c r="H10" s="841">
        <f t="shared" si="1"/>
        <v>0.18121454877819287</v>
      </c>
      <c r="I10" s="695"/>
      <c r="J10" s="840">
        <f>HLOOKUP(J$2,C_IS!$3:$23,$A10,0)</f>
        <v>81.138999999999996</v>
      </c>
      <c r="K10" s="840">
        <f>HLOOKUP(K$2,C_IS!$3:$23,$A10,0)</f>
        <v>81.793000000000006</v>
      </c>
      <c r="L10" s="841">
        <f t="shared" si="2"/>
        <v>-7.9957942611227351E-3</v>
      </c>
      <c r="N10" s="907"/>
    </row>
    <row r="11" spans="1:16" s="1" customFormat="1">
      <c r="A11" s="142"/>
      <c r="B11" s="839" t="s">
        <v>112</v>
      </c>
      <c r="C11" s="839" t="s">
        <v>79</v>
      </c>
      <c r="D11" s="844">
        <f>D10/D$3</f>
        <v>0.41643368241482254</v>
      </c>
      <c r="E11" s="844">
        <f>E10/E$3</f>
        <v>0.51643773113683289</v>
      </c>
      <c r="F11" s="843">
        <f>D11-E11</f>
        <v>-0.10000404872201035</v>
      </c>
      <c r="G11" s="844">
        <f>G10/G$3</f>
        <v>0.42671637510754229</v>
      </c>
      <c r="H11" s="843">
        <f>D11-G11</f>
        <v>-1.0282692692719753E-2</v>
      </c>
      <c r="I11" s="695"/>
      <c r="J11" s="844">
        <f>J10/J$3</f>
        <v>0.42108568166485028</v>
      </c>
      <c r="K11" s="844">
        <f>K10/K$3</f>
        <v>0.50994095899549252</v>
      </c>
      <c r="L11" s="843">
        <f>J11-K11</f>
        <v>-8.8855277330642246E-2</v>
      </c>
      <c r="N11" s="907"/>
      <c r="O11" s="13"/>
      <c r="P11" s="13"/>
    </row>
    <row r="12" spans="1:16">
      <c r="A12" s="141">
        <f>INDEX(Q_IS!$A$3:$A$23,MATCH(PL!C12,Q_IS!$C$3:$C$23,0))</f>
        <v>11</v>
      </c>
      <c r="B12" s="12" t="s">
        <v>179</v>
      </c>
      <c r="C12" s="12" t="s">
        <v>59</v>
      </c>
      <c r="D12" s="364">
        <f>HLOOKUP(D$2,Q_IS!$3:$23,$A12,0)</f>
        <v>5.351</v>
      </c>
      <c r="E12" s="364">
        <f>HLOOKUP(E$2,Q_IS!$3:$23,$A12,0)</f>
        <v>1.0189999999999999</v>
      </c>
      <c r="F12" s="445">
        <f>D12/E12-1</f>
        <v>4.2512266928361147</v>
      </c>
      <c r="G12" s="364">
        <f>HLOOKUP(G$2,Q_IS!$3:$23,$A12,0)</f>
        <v>10.218999999999999</v>
      </c>
      <c r="H12" s="445">
        <f>D12/G12-1</f>
        <v>-0.47636755064096292</v>
      </c>
      <c r="I12" s="697"/>
      <c r="J12" s="364">
        <f>HLOOKUP(J$2,C_IS!$3:$23,$A12,0)</f>
        <v>15.57</v>
      </c>
      <c r="K12" s="364">
        <f>HLOOKUP(K$2,C_IS!$3:$23,$A12,0)</f>
        <v>3.1550000000000002</v>
      </c>
      <c r="L12" s="445">
        <f>J12/K12-1</f>
        <v>3.9350237717908083</v>
      </c>
    </row>
    <row r="13" spans="1:16">
      <c r="A13" s="141">
        <f>INDEX(Q_IS!$A$3:$A$23,MATCH(PL!C13,Q_IS!$C$3:$C$23,0))</f>
        <v>12</v>
      </c>
      <c r="B13" s="12" t="s">
        <v>180</v>
      </c>
      <c r="C13" s="12" t="s">
        <v>60</v>
      </c>
      <c r="D13" s="364">
        <f>HLOOKUP(D$2,Q_IS!$3:$23,$A13,0)</f>
        <v>-12.005000000000001</v>
      </c>
      <c r="E13" s="364">
        <f>HLOOKUP(E$2,Q_IS!$3:$23,$A13,0)</f>
        <v>-11.505000000000001</v>
      </c>
      <c r="F13" s="445">
        <f t="shared" ref="F13:F20" si="3">D13/E13-1</f>
        <v>4.3459365493263791E-2</v>
      </c>
      <c r="G13" s="364">
        <f>HLOOKUP(G$2,Q_IS!$3:$23,$A13,0)</f>
        <v>-2.4239999999999999</v>
      </c>
      <c r="H13" s="445">
        <f t="shared" ref="H13:H20" si="4">D13/G13-1</f>
        <v>3.9525577557755778</v>
      </c>
      <c r="I13" s="697"/>
      <c r="J13" s="364">
        <f>HLOOKUP(J$2,C_IS!$3:$23,$A13,0)</f>
        <v>-14.429</v>
      </c>
      <c r="K13" s="364">
        <f>HLOOKUP(K$2,C_IS!$3:$23,$A13,0)</f>
        <v>-12.916</v>
      </c>
      <c r="L13" s="445">
        <f t="shared" ref="L13:L20" si="5">J13/K13-1</f>
        <v>0.11714152988541349</v>
      </c>
    </row>
    <row r="14" spans="1:16">
      <c r="A14" s="141">
        <f>INDEX(Q_IS!$A$3:$A$23,MATCH(PL!C14,Q_IS!$C$3:$C$23,0))</f>
        <v>13</v>
      </c>
      <c r="B14" s="12" t="s">
        <v>182</v>
      </c>
      <c r="C14" s="12" t="s">
        <v>61</v>
      </c>
      <c r="D14" s="364">
        <f>HLOOKUP(D$2,Q_IS!$3:$23,$A14,0)</f>
        <v>-0.183</v>
      </c>
      <c r="E14" s="364">
        <f>HLOOKUP(E$2,Q_IS!$3:$23,$A14,0)</f>
        <v>3.5999999999999997E-2</v>
      </c>
      <c r="F14" s="447">
        <f t="shared" si="3"/>
        <v>-6.0833333333333339</v>
      </c>
      <c r="G14" s="364">
        <f>HLOOKUP(G$2,Q_IS!$3:$23,$A14,0)</f>
        <v>0.51400000000000001</v>
      </c>
      <c r="H14" s="447">
        <f t="shared" si="4"/>
        <v>-1.3560311284046693</v>
      </c>
      <c r="I14" s="697"/>
      <c r="J14" s="364">
        <f>HLOOKUP(J$2,C_IS!$3:$23,$A14,0)</f>
        <v>0.33100000000000002</v>
      </c>
      <c r="K14" s="364">
        <f>HLOOKUP(K$2,C_IS!$3:$23,$A14,0)</f>
        <v>8.0999999999999989E-2</v>
      </c>
      <c r="L14" s="447">
        <f t="shared" si="5"/>
        <v>3.0864197530864201</v>
      </c>
    </row>
    <row r="15" spans="1:16">
      <c r="A15" s="141">
        <f>INDEX(Q_IS!$A$3:$A$23,MATCH(PL!C15,Q_IS!$C$3:$C$23,0))</f>
        <v>14</v>
      </c>
      <c r="B15" s="12" t="s">
        <v>184</v>
      </c>
      <c r="C15" s="12" t="s">
        <v>62</v>
      </c>
      <c r="D15" s="364">
        <f>HLOOKUP(D$2,Q_IS!$3:$23,$A15,0)</f>
        <v>-0.46</v>
      </c>
      <c r="E15" s="364">
        <f>HLOOKUP(E$2,Q_IS!$3:$23,$A15,0)</f>
        <v>-0.65</v>
      </c>
      <c r="F15" s="445">
        <f t="shared" si="3"/>
        <v>-0.29230769230769227</v>
      </c>
      <c r="G15" s="364">
        <f>HLOOKUP(G$2,Q_IS!$3:$23,$A15,0)</f>
        <v>-0.66100000000000003</v>
      </c>
      <c r="H15" s="445">
        <f t="shared" si="4"/>
        <v>-0.30408472012102872</v>
      </c>
      <c r="I15" s="697"/>
      <c r="J15" s="364">
        <f>HLOOKUP(J$2,C_IS!$3:$23,$A15,0)</f>
        <v>-1.121</v>
      </c>
      <c r="K15" s="364">
        <f>HLOOKUP(K$2,C_IS!$3:$23,$A15,0)</f>
        <v>-0.65200000000000002</v>
      </c>
      <c r="L15" s="445">
        <f t="shared" si="5"/>
        <v>0.71932515337423308</v>
      </c>
    </row>
    <row r="16" spans="1:16">
      <c r="A16" s="141">
        <f>INDEX(Q_IS!$A$3:$A$23,MATCH(PL!C16,Q_IS!$C$3:$C$23,0))</f>
        <v>15</v>
      </c>
      <c r="B16" s="845" t="s">
        <v>186</v>
      </c>
      <c r="C16" s="845" t="s">
        <v>446</v>
      </c>
      <c r="D16" s="846">
        <f>HLOOKUP(D$2,Q_IS!$3:$23,$A16,0)</f>
        <v>36.642999999999994</v>
      </c>
      <c r="E16" s="846">
        <f>HLOOKUP(E$2,Q_IS!$3:$23,$A16,0)</f>
        <v>31.910999999999994</v>
      </c>
      <c r="F16" s="799">
        <f t="shared" si="3"/>
        <v>0.14828742439911013</v>
      </c>
      <c r="G16" s="846">
        <f>HLOOKUP(G$2,Q_IS!$3:$23,$A16,0)</f>
        <v>44.847000000000001</v>
      </c>
      <c r="H16" s="799">
        <f t="shared" si="4"/>
        <v>-0.18293308359533544</v>
      </c>
      <c r="I16" s="697"/>
      <c r="J16" s="846">
        <f>HLOOKUP(J$2,C_IS!$3:$23,$A16,0)</f>
        <v>81.489999999999995</v>
      </c>
      <c r="K16" s="846">
        <f>HLOOKUP(K$2,C_IS!$3:$23,$A16,0)</f>
        <v>71.460999999999999</v>
      </c>
      <c r="L16" s="799">
        <f t="shared" si="5"/>
        <v>0.14034228460279019</v>
      </c>
    </row>
    <row r="17" spans="1:16">
      <c r="A17" s="141">
        <f>INDEX(Q_IS!$A$3:$A$23,MATCH(PL!C17,Q_IS!$C$3:$C$23,0))</f>
        <v>16</v>
      </c>
      <c r="B17" s="12" t="s">
        <v>187</v>
      </c>
      <c r="C17" s="12" t="s">
        <v>239</v>
      </c>
      <c r="D17" s="364">
        <f>HLOOKUP(D$2,Q_IS!$3:$23,$A17,0)</f>
        <v>-11.122999999999999</v>
      </c>
      <c r="E17" s="364">
        <f>HLOOKUP(E$2,Q_IS!$3:$23,$A17,0)</f>
        <v>-5.438999999999993</v>
      </c>
      <c r="F17" s="445">
        <f t="shared" si="3"/>
        <v>1.0450450450450477</v>
      </c>
      <c r="G17" s="364">
        <f>HLOOKUP(G$2,Q_IS!$3:$23,$A17,0)</f>
        <v>-11.691000000000001</v>
      </c>
      <c r="H17" s="445">
        <f t="shared" si="4"/>
        <v>-4.8584381147891653E-2</v>
      </c>
      <c r="I17" s="696"/>
      <c r="J17" s="364">
        <f>HLOOKUP(J$2,C_IS!$3:$23,$A17,0)</f>
        <v>-22.814</v>
      </c>
      <c r="K17" s="364">
        <f>HLOOKUP(K$2,C_IS!$3:$23,$A17,0)</f>
        <v>-15.264999999999993</v>
      </c>
      <c r="L17" s="445">
        <f t="shared" si="5"/>
        <v>0.49452997052079994</v>
      </c>
      <c r="O17" s="1"/>
      <c r="P17" s="1"/>
    </row>
    <row r="18" spans="1:16" s="1" customFormat="1">
      <c r="A18" s="142">
        <f>INDEX(Q_IS!$A$3:$A$23,MATCH(PL!C18,Q_IS!$C$3:$C$23,0))</f>
        <v>17</v>
      </c>
      <c r="B18" s="839" t="s">
        <v>319</v>
      </c>
      <c r="C18" s="847" t="s">
        <v>320</v>
      </c>
      <c r="D18" s="840">
        <f>HLOOKUP(D$2,Q_IS!$3:$23,$A18,0)</f>
        <v>28.366</v>
      </c>
      <c r="E18" s="840">
        <f>HLOOKUP(E$2,Q_IS!$3:$23,$A18,0)</f>
        <v>26.471</v>
      </c>
      <c r="F18" s="841">
        <f t="shared" si="3"/>
        <v>7.1587775301273027E-2</v>
      </c>
      <c r="G18" s="840">
        <f>HLOOKUP(G$2,Q_IS!$3:$23,$A18,0)</f>
        <v>33.616</v>
      </c>
      <c r="H18" s="841">
        <f t="shared" si="4"/>
        <v>-0.15617563065207041</v>
      </c>
      <c r="I18" s="695"/>
      <c r="J18" s="840">
        <f>HLOOKUP(J$2,C_IS!$3:$23,$A18,0)</f>
        <v>61.981999999999999</v>
      </c>
      <c r="K18" s="840">
        <f>HLOOKUP(K$2,C_IS!$3:$23,$A18,0)</f>
        <v>56.286999999999999</v>
      </c>
      <c r="L18" s="841">
        <f t="shared" si="5"/>
        <v>0.10117789187556636</v>
      </c>
      <c r="N18" s="907"/>
    </row>
    <row r="19" spans="1:16" s="1" customFormat="1">
      <c r="A19" s="142"/>
      <c r="B19" s="839" t="s">
        <v>79</v>
      </c>
      <c r="C19" s="839" t="s">
        <v>79</v>
      </c>
      <c r="D19" s="842">
        <f>D18/D$3</f>
        <v>0.26883381509737952</v>
      </c>
      <c r="E19" s="842">
        <f>E18/E$3</f>
        <v>0.31784016137553428</v>
      </c>
      <c r="F19" s="843">
        <f>D19-E19</f>
        <v>-4.9006346278154755E-2</v>
      </c>
      <c r="G19" s="842">
        <f>G18/G$3</f>
        <v>0.38561514195583596</v>
      </c>
      <c r="H19" s="843">
        <f>D19-G19</f>
        <v>-0.11678132685845644</v>
      </c>
      <c r="I19" s="695"/>
      <c r="J19" s="842">
        <f>J18/J$3</f>
        <v>0.32166692615081216</v>
      </c>
      <c r="K19" s="842">
        <f>K18/K$3</f>
        <v>0.35092302225103961</v>
      </c>
      <c r="L19" s="843">
        <f>J19-K19</f>
        <v>-2.9256096100227447E-2</v>
      </c>
      <c r="N19" s="907"/>
      <c r="O19" s="371"/>
      <c r="P19" s="371"/>
    </row>
    <row r="20" spans="1:16" s="371" customFormat="1">
      <c r="A20" s="142">
        <f>INDEX(Q_IS!$A$3:$A$23,MATCH(PL!C20,Q_IS!$C$3:$C$23,0))</f>
        <v>20</v>
      </c>
      <c r="B20" s="839" t="s">
        <v>81</v>
      </c>
      <c r="C20" s="839" t="s">
        <v>81</v>
      </c>
      <c r="D20" s="840">
        <f>HLOOKUP(D$2,Q_IS!$3:$23,$A20,0)</f>
        <v>48.088999999999999</v>
      </c>
      <c r="E20" s="840">
        <f>HLOOKUP(E$2,Q_IS!$3:$23,$A20,0)</f>
        <v>46.654999999999994</v>
      </c>
      <c r="F20" s="841">
        <f t="shared" si="3"/>
        <v>3.0736255492444631E-2</v>
      </c>
      <c r="G20" s="840">
        <f>HLOOKUP(G$2,Q_IS!$3:$23,$A20,0)</f>
        <v>41.045999999999999</v>
      </c>
      <c r="H20" s="841">
        <f t="shared" si="4"/>
        <v>0.17158797446767049</v>
      </c>
      <c r="I20" s="698"/>
      <c r="J20" s="840">
        <f>HLOOKUP(J$2,C_IS!$3:$23,$A20,0)</f>
        <v>89.134999999999991</v>
      </c>
      <c r="K20" s="840">
        <f>HLOOKUP(K$2,C_IS!$3:$23,$A20,0)</f>
        <v>88.99199999999999</v>
      </c>
      <c r="L20" s="841">
        <f t="shared" si="5"/>
        <v>1.6068860122258055E-3</v>
      </c>
      <c r="N20" s="908"/>
    </row>
    <row r="21" spans="1:16" s="371" customFormat="1">
      <c r="A21" s="142"/>
      <c r="B21" s="848" t="s">
        <v>79</v>
      </c>
      <c r="C21" s="848" t="s">
        <v>79</v>
      </c>
      <c r="D21" s="849">
        <f>D20/D$3</f>
        <v>0.45575510590911245</v>
      </c>
      <c r="E21" s="849">
        <f>E20/E$3</f>
        <v>0.56019163344700051</v>
      </c>
      <c r="F21" s="850">
        <f>D21-E21</f>
        <v>-0.10443652753788807</v>
      </c>
      <c r="G21" s="849">
        <f>G20/G$3</f>
        <v>0.47084599942644106</v>
      </c>
      <c r="H21" s="850">
        <f>D21-G21</f>
        <v>-1.5090893517328619E-2</v>
      </c>
      <c r="I21" s="699"/>
      <c r="J21" s="849">
        <f>J20/J$3</f>
        <v>0.46258238621620212</v>
      </c>
      <c r="K21" s="849">
        <f>K20/K$3</f>
        <v>0.55482334457627014</v>
      </c>
      <c r="L21" s="850">
        <f>J21-K21</f>
        <v>-9.2240958360068015E-2</v>
      </c>
      <c r="N21" s="908"/>
      <c r="O21" s="13"/>
      <c r="P21" s="13"/>
    </row>
    <row r="23" spans="1:16">
      <c r="D23" s="375"/>
      <c r="E23" s="762"/>
      <c r="G23" s="375"/>
      <c r="J23" s="375" t="s">
        <v>456</v>
      </c>
      <c r="K23" s="761"/>
    </row>
  </sheetData>
  <phoneticPr fontId="3"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51108-65F0-4CB1-9C3D-BBFD151C387C}">
  <dimension ref="A1:L34"/>
  <sheetViews>
    <sheetView zoomScaleNormal="100" workbookViewId="0">
      <pane xSplit="3" ySplit="2" topLeftCell="D5" activePane="bottomRight" state="frozen"/>
      <selection sqref="A1:XFD1048576"/>
      <selection pane="topRight" sqref="A1:XFD1048576"/>
      <selection pane="bottomLeft" sqref="A1:XFD1048576"/>
      <selection pane="bottomRight" activeCell="E40" sqref="E40"/>
    </sheetView>
  </sheetViews>
  <sheetFormatPr defaultRowHeight="14.4" customHeight="1"/>
  <cols>
    <col min="1" max="1" width="8.796875" style="141"/>
    <col min="2" max="5" width="14.8984375" style="13" customWidth="1"/>
    <col min="6" max="6" width="14.8984375" style="443" customWidth="1"/>
    <col min="7" max="7" width="14.8984375" style="13" customWidth="1"/>
    <col min="8" max="8" width="14.8984375" style="443" customWidth="1"/>
    <col min="9" max="9" width="8.796875" style="13"/>
    <col min="10" max="11" width="14.8984375" style="13" customWidth="1"/>
    <col min="12" max="12" width="14.8984375" style="677" customWidth="1"/>
    <col min="13" max="13" width="8.796875" style="13"/>
    <col min="14" max="14" width="8.796875" style="13" customWidth="1"/>
    <col min="15" max="16384" width="8.796875" style="13"/>
  </cols>
  <sheetData>
    <row r="1" spans="1:12" ht="14.4" customHeight="1">
      <c r="B1" s="130" t="s">
        <v>195</v>
      </c>
      <c r="C1" s="13" t="s">
        <v>463</v>
      </c>
      <c r="J1" s="675" t="s">
        <v>454</v>
      </c>
      <c r="K1" s="675" t="s">
        <v>281</v>
      </c>
      <c r="L1" s="677" t="s">
        <v>456</v>
      </c>
    </row>
    <row r="2" spans="1:12" s="371" customFormat="1" ht="14.4" customHeight="1">
      <c r="A2" s="142"/>
      <c r="B2" s="453"/>
      <c r="C2" s="454"/>
      <c r="D2" s="149" t="s">
        <v>475</v>
      </c>
      <c r="E2" s="149" t="s">
        <v>325</v>
      </c>
      <c r="F2" s="451" t="s">
        <v>77</v>
      </c>
      <c r="G2" s="149" t="s">
        <v>474</v>
      </c>
      <c r="H2" s="451" t="s">
        <v>9</v>
      </c>
      <c r="J2" s="149" t="s">
        <v>478</v>
      </c>
      <c r="K2" s="149" t="s">
        <v>326</v>
      </c>
      <c r="L2" s="149" t="s">
        <v>0</v>
      </c>
    </row>
    <row r="3" spans="1:12" ht="14.4" customHeight="1">
      <c r="B3" s="369" t="s">
        <v>171</v>
      </c>
      <c r="C3" s="369" t="s">
        <v>198</v>
      </c>
      <c r="D3" s="370">
        <f>D5+D6+D17</f>
        <v>105.51600000000001</v>
      </c>
      <c r="E3" s="370">
        <f>E5+E6</f>
        <v>83.283999999999992</v>
      </c>
      <c r="F3" s="444">
        <f>D3/E3-1</f>
        <v>0.26694202968157166</v>
      </c>
      <c r="G3" s="370">
        <f>G5+G6+G17</f>
        <v>87.172999999999988</v>
      </c>
      <c r="H3" s="444">
        <f>D3/G3-1</f>
        <v>0.21042065777247565</v>
      </c>
      <c r="J3" s="370">
        <f>J5+J6+J17</f>
        <v>192.68900000000002</v>
      </c>
      <c r="K3" s="370">
        <f>K5+K6+K17</f>
        <v>160.39699999999999</v>
      </c>
      <c r="L3" s="444">
        <f>J3/K3-1</f>
        <v>0.20132546119939909</v>
      </c>
    </row>
    <row r="4" spans="1:12" ht="14.4" customHeight="1">
      <c r="B4" s="369" t="s">
        <v>496</v>
      </c>
      <c r="C4" s="369" t="s">
        <v>504</v>
      </c>
      <c r="D4" s="370">
        <f>+D5+D6</f>
        <v>90.460000000000008</v>
      </c>
      <c r="E4" s="370">
        <f>+E5+E6</f>
        <v>83.283999999999992</v>
      </c>
      <c r="F4" s="444">
        <f>D4/E4-1</f>
        <v>8.6163008501032756E-2</v>
      </c>
      <c r="G4" s="370">
        <f>+G5+G6</f>
        <v>85.37299999999999</v>
      </c>
      <c r="H4" s="444">
        <f>D4/G4-1</f>
        <v>5.958558326402974E-2</v>
      </c>
      <c r="J4" s="370">
        <f>+J5+J6</f>
        <v>175.83300000000003</v>
      </c>
      <c r="K4" s="370">
        <f>+K5+K6</f>
        <v>160.39699999999999</v>
      </c>
      <c r="L4" s="444">
        <f>J4/K4-1</f>
        <v>9.6236213894274947E-2</v>
      </c>
    </row>
    <row r="5" spans="1:12" ht="14.4" customHeight="1">
      <c r="B5" s="353" t="s">
        <v>98</v>
      </c>
      <c r="C5" s="354" t="s">
        <v>316</v>
      </c>
      <c r="D5" s="954">
        <f>D8+D11+D14</f>
        <v>68.144000000000005</v>
      </c>
      <c r="E5" s="954">
        <f>E8+E11+E14</f>
        <v>53.395999999999994</v>
      </c>
      <c r="F5" s="449">
        <f>D5/E5-1</f>
        <v>0.27620046445426638</v>
      </c>
      <c r="G5" s="954">
        <f>G8+G11+G14</f>
        <v>61.851999999999997</v>
      </c>
      <c r="H5" s="449">
        <f>D5/G5-1</f>
        <v>0.10172670245101223</v>
      </c>
      <c r="J5" s="954">
        <f>J8+J11+J14</f>
        <v>129.99600000000001</v>
      </c>
      <c r="K5" s="366">
        <f>K8+K11+K14</f>
        <v>105.929</v>
      </c>
      <c r="L5" s="449">
        <f>J5/K5-1</f>
        <v>0.22719935050835938</v>
      </c>
    </row>
    <row r="6" spans="1:12" ht="14.4" customHeight="1">
      <c r="B6" s="355" t="s">
        <v>99</v>
      </c>
      <c r="C6" s="356" t="s">
        <v>317</v>
      </c>
      <c r="D6" s="955">
        <f>D9+D12+D15+D16</f>
        <v>22.315999999999999</v>
      </c>
      <c r="E6" s="955">
        <f>E9+E12+E15+E16</f>
        <v>29.887999999999998</v>
      </c>
      <c r="F6" s="450">
        <f>D6/E6-1</f>
        <v>-0.25334582441113485</v>
      </c>
      <c r="G6" s="955">
        <f>G9+G12+G15+G16</f>
        <v>23.521000000000001</v>
      </c>
      <c r="H6" s="450">
        <f>D6/G6-1</f>
        <v>-5.1230815016368392E-2</v>
      </c>
      <c r="J6" s="955">
        <f>J9+J12+J15+J16</f>
        <v>45.837000000000003</v>
      </c>
      <c r="K6" s="367">
        <f>K9+K12+K15+K16</f>
        <v>54.467999999999996</v>
      </c>
      <c r="L6" s="450">
        <f>J6/K6-1</f>
        <v>-0.15846001321877057</v>
      </c>
    </row>
    <row r="7" spans="1:12" s="1" customFormat="1" ht="14.4" customHeight="1">
      <c r="A7" s="142">
        <v>3</v>
      </c>
      <c r="B7" s="352" t="str">
        <f>Q_IS!B28</f>
        <v>장비</v>
      </c>
      <c r="C7" s="352" t="str">
        <f>Q_IS!C28</f>
        <v>Device</v>
      </c>
      <c r="D7" s="956">
        <f>D8+D9</f>
        <v>49.222000000000001</v>
      </c>
      <c r="E7" s="956">
        <f>E8+E9</f>
        <v>45.49</v>
      </c>
      <c r="F7" s="446">
        <f>D7/E7-1</f>
        <v>8.2040008793141439E-2</v>
      </c>
      <c r="G7" s="956">
        <f>G8+G9</f>
        <v>42.161999999999999</v>
      </c>
      <c r="H7" s="446">
        <f>D7/G7-1</f>
        <v>0.16744936198472571</v>
      </c>
      <c r="J7" s="956">
        <f>J8+J9</f>
        <v>91.384</v>
      </c>
      <c r="K7" s="363">
        <f>K8+K9</f>
        <v>80.556999999999988</v>
      </c>
      <c r="L7" s="446">
        <f>J7/K7-1</f>
        <v>0.13440172796901595</v>
      </c>
    </row>
    <row r="8" spans="1:12" ht="14.4" customHeight="1">
      <c r="A8" s="141">
        <v>4</v>
      </c>
      <c r="B8" s="357" t="str">
        <f>Q_IS!B29</f>
        <v>수출</v>
      </c>
      <c r="C8" s="357" t="str">
        <f>Q_IS!C29</f>
        <v>Global</v>
      </c>
      <c r="D8" s="720">
        <f>HLOOKUP(D$2,Q_IS!$26:$41,$A8,0)</f>
        <v>41.572000000000003</v>
      </c>
      <c r="E8" s="720">
        <f>HLOOKUP(E$2,Q_IS!$26:$41,$A8,0)</f>
        <v>32.86</v>
      </c>
      <c r="F8" s="445">
        <f t="shared" ref="F8:F15" si="0">D8/E8-1</f>
        <v>0.26512477175897753</v>
      </c>
      <c r="G8" s="720">
        <f>HLOOKUP(G$2,Q_IS!$26:$41,$A8,0)</f>
        <v>35.6</v>
      </c>
      <c r="H8" s="445">
        <f t="shared" ref="H8:H15" si="1">D8/G8-1</f>
        <v>0.1677528089887641</v>
      </c>
      <c r="J8" s="720">
        <f>HLOOKUP(J$2,C_IS!$26:$41,$A8,0)</f>
        <v>77.171999999999997</v>
      </c>
      <c r="K8" s="368">
        <f>HLOOKUP(K$2,C_IS!$26:$41,$A8,0)</f>
        <v>58.763999999999996</v>
      </c>
      <c r="L8" s="445">
        <f t="shared" ref="L8:L15" si="2">J8/K8-1</f>
        <v>0.31325301204819289</v>
      </c>
    </row>
    <row r="9" spans="1:12" ht="14.4" customHeight="1">
      <c r="A9" s="141">
        <v>5</v>
      </c>
      <c r="B9" s="357" t="str">
        <f>Q_IS!B30</f>
        <v>내수</v>
      </c>
      <c r="C9" s="357" t="str">
        <f>Q_IS!C30</f>
        <v>Korea</v>
      </c>
      <c r="D9" s="720">
        <f>HLOOKUP(D$2,Q_IS!$26:$41,$A9,0)</f>
        <v>7.65</v>
      </c>
      <c r="E9" s="720">
        <f>HLOOKUP(E$2,Q_IS!$26:$41,$A9,0)</f>
        <v>12.63</v>
      </c>
      <c r="F9" s="445">
        <f t="shared" si="0"/>
        <v>-0.39429928741092635</v>
      </c>
      <c r="G9" s="720">
        <f>HLOOKUP(G$2,Q_IS!$26:$41,$A9,0)</f>
        <v>6.5620000000000003</v>
      </c>
      <c r="H9" s="445">
        <f t="shared" si="1"/>
        <v>0.16580310880829008</v>
      </c>
      <c r="J9" s="720">
        <f>HLOOKUP(J$2,C_IS!$26:$41,$A9,0)</f>
        <v>14.212</v>
      </c>
      <c r="K9" s="368">
        <f>HLOOKUP(K$2,C_IS!$26:$41,$A9,0)</f>
        <v>21.792999999999999</v>
      </c>
      <c r="L9" s="445">
        <f t="shared" si="2"/>
        <v>-0.34786399302528337</v>
      </c>
    </row>
    <row r="10" spans="1:12" s="1" customFormat="1" ht="14.4" customHeight="1">
      <c r="A10" s="142">
        <v>6</v>
      </c>
      <c r="B10" s="352" t="str">
        <f>Q_IS!B31</f>
        <v>소모품</v>
      </c>
      <c r="C10" s="352" t="str">
        <f>Q_IS!C31</f>
        <v>Consumable</v>
      </c>
      <c r="D10" s="956">
        <f>D11+D12</f>
        <v>39.234999999999999</v>
      </c>
      <c r="E10" s="956">
        <f>E11+E12</f>
        <v>35.207999999999998</v>
      </c>
      <c r="F10" s="446">
        <f t="shared" si="0"/>
        <v>0.11437741422404013</v>
      </c>
      <c r="G10" s="956">
        <f>G11+G12</f>
        <v>40.997</v>
      </c>
      <c r="H10" s="446">
        <f t="shared" si="1"/>
        <v>-4.2978754543015363E-2</v>
      </c>
      <c r="J10" s="956">
        <f>J11+J12</f>
        <v>80.231999999999999</v>
      </c>
      <c r="K10" s="363">
        <f>K11+K12</f>
        <v>76.194000000000003</v>
      </c>
      <c r="L10" s="446">
        <f t="shared" si="2"/>
        <v>5.2996298921174745E-2</v>
      </c>
    </row>
    <row r="11" spans="1:12" ht="14.4" customHeight="1">
      <c r="A11" s="141">
        <v>7</v>
      </c>
      <c r="B11" s="357" t="str">
        <f>Q_IS!B32</f>
        <v>수출</v>
      </c>
      <c r="C11" s="357" t="str">
        <f>Q_IS!C32</f>
        <v>Global</v>
      </c>
      <c r="D11" s="720">
        <f>HLOOKUP(D$2,Q_IS!$26:$41,$A11,0)</f>
        <v>26.428000000000001</v>
      </c>
      <c r="E11" s="720">
        <f>HLOOKUP(E$2,Q_IS!$26:$41,$A11,0)</f>
        <v>20.126999999999999</v>
      </c>
      <c r="F11" s="445">
        <f t="shared" si="0"/>
        <v>0.31306205594475101</v>
      </c>
      <c r="G11" s="720">
        <f>HLOOKUP(G$2,Q_IS!$26:$41,$A11,0)</f>
        <v>26.077999999999999</v>
      </c>
      <c r="H11" s="445">
        <f t="shared" si="1"/>
        <v>1.3421274637625658E-2</v>
      </c>
      <c r="J11" s="720">
        <f>HLOOKUP(J$2,C_IS!$26:$41,$A11,0)</f>
        <v>52.506</v>
      </c>
      <c r="K11" s="368">
        <f>HLOOKUP(K$2,C_IS!$26:$41,$A11,0)</f>
        <v>46.194000000000003</v>
      </c>
      <c r="L11" s="445">
        <f t="shared" si="2"/>
        <v>0.13664112222366542</v>
      </c>
    </row>
    <row r="12" spans="1:12" ht="14.4" customHeight="1">
      <c r="A12" s="141">
        <v>8</v>
      </c>
      <c r="B12" s="357" t="str">
        <f>Q_IS!B33</f>
        <v>내수</v>
      </c>
      <c r="C12" s="357" t="str">
        <f>Q_IS!C33</f>
        <v>Korea</v>
      </c>
      <c r="D12" s="720">
        <f>HLOOKUP(D$2,Q_IS!$26:$41,$A12,0)</f>
        <v>12.807</v>
      </c>
      <c r="E12" s="720">
        <f>HLOOKUP(E$2,Q_IS!$26:$41,$A12,0)</f>
        <v>15.081</v>
      </c>
      <c r="F12" s="445">
        <f t="shared" si="0"/>
        <v>-0.15078575691267149</v>
      </c>
      <c r="G12" s="720">
        <f>HLOOKUP(G$2,Q_IS!$26:$41,$A12,0)</f>
        <v>14.919</v>
      </c>
      <c r="H12" s="445">
        <f t="shared" si="1"/>
        <v>-0.14156444801930423</v>
      </c>
      <c r="J12" s="720">
        <f>HLOOKUP(J$2,C_IS!$26:$41,$A12,0)</f>
        <v>27.725999999999999</v>
      </c>
      <c r="K12" s="368">
        <f>HLOOKUP(K$2,C_IS!$26:$41,$A12,0)</f>
        <v>30</v>
      </c>
      <c r="L12" s="445">
        <f t="shared" si="2"/>
        <v>-7.5799999999999979E-2</v>
      </c>
    </row>
    <row r="13" spans="1:12" s="1" customFormat="1" ht="14.4" customHeight="1">
      <c r="A13" s="142">
        <v>9</v>
      </c>
      <c r="B13" s="352" t="str">
        <f>Q_IS!B34</f>
        <v>Homecare</v>
      </c>
      <c r="C13" s="352" t="str">
        <f>Q_IS!C34</f>
        <v>Homecare</v>
      </c>
      <c r="D13" s="956">
        <f>D14+D15</f>
        <v>1.885</v>
      </c>
      <c r="E13" s="956">
        <f>+E14+E15</f>
        <v>2.3759999999999999</v>
      </c>
      <c r="F13" s="446">
        <f t="shared" si="0"/>
        <v>-0.20664983164983164</v>
      </c>
      <c r="G13" s="956">
        <f>G14+G15</f>
        <v>2.0640000000000001</v>
      </c>
      <c r="H13" s="446">
        <f t="shared" si="1"/>
        <v>-8.6724806201550431E-2</v>
      </c>
      <c r="J13" s="956">
        <f>J14+J15</f>
        <v>3.9490000000000003</v>
      </c>
      <c r="K13" s="363">
        <f>K14+K15</f>
        <v>3.2</v>
      </c>
      <c r="L13" s="446">
        <f t="shared" si="2"/>
        <v>0.23406250000000006</v>
      </c>
    </row>
    <row r="14" spans="1:12" ht="14.4" customHeight="1">
      <c r="A14" s="141">
        <v>10</v>
      </c>
      <c r="B14" s="357" t="str">
        <f>Q_IS!B35</f>
        <v>수출</v>
      </c>
      <c r="C14" s="357" t="str">
        <f>Q_IS!C35</f>
        <v>Global</v>
      </c>
      <c r="D14" s="720">
        <f>HLOOKUP(D$2,Q_IS!$26:$41,$A14,0)</f>
        <v>0.14399999999999999</v>
      </c>
      <c r="E14" s="720">
        <f>HLOOKUP(E$2,Q_IS!$26:$41,$A14,0)</f>
        <v>0.40899999999999997</v>
      </c>
      <c r="F14" s="445">
        <v>0</v>
      </c>
      <c r="G14" s="720">
        <f>HLOOKUP(G$2,Q_IS!$26:$41,$A14,0)</f>
        <v>0.17399999999999999</v>
      </c>
      <c r="H14" s="445">
        <f t="shared" si="1"/>
        <v>-0.17241379310344829</v>
      </c>
      <c r="J14" s="720">
        <f>HLOOKUP(J$2,C_IS!$26:$41,$A14,0)</f>
        <v>0.31799999999999995</v>
      </c>
      <c r="K14" s="368">
        <f>HLOOKUP(K$2,C_IS!$26:$41,$A14,0)</f>
        <v>0.97100000000000009</v>
      </c>
      <c r="L14" s="445">
        <v>0</v>
      </c>
    </row>
    <row r="15" spans="1:12" ht="14.4" customHeight="1">
      <c r="A15" s="141">
        <v>11</v>
      </c>
      <c r="B15" s="357" t="str">
        <f>Q_IS!B36</f>
        <v>내수</v>
      </c>
      <c r="C15" s="357" t="str">
        <f>Q_IS!C36</f>
        <v>Korea</v>
      </c>
      <c r="D15" s="720">
        <f>HLOOKUP(D$2,Q_IS!$26:$41,$A15,0)</f>
        <v>1.7410000000000001</v>
      </c>
      <c r="E15" s="720">
        <f>HLOOKUP(E$2,Q_IS!$26:$41,$A15,0)</f>
        <v>1.9670000000000001</v>
      </c>
      <c r="F15" s="445">
        <f t="shared" si="0"/>
        <v>-0.1148957803762074</v>
      </c>
      <c r="G15" s="720">
        <f>HLOOKUP(G$2,Q_IS!$26:$41,$A15,0)</f>
        <v>1.89</v>
      </c>
      <c r="H15" s="445">
        <f t="shared" si="1"/>
        <v>-7.8835978835978704E-2</v>
      </c>
      <c r="J15" s="720">
        <f>HLOOKUP(J$2,C_IS!$26:$41,$A15,0)</f>
        <v>3.6310000000000002</v>
      </c>
      <c r="K15" s="368">
        <f>HLOOKUP(K$2,C_IS!$26:$41,$A15,0)</f>
        <v>2.2290000000000001</v>
      </c>
      <c r="L15" s="445">
        <f t="shared" si="2"/>
        <v>0.62898160610139087</v>
      </c>
    </row>
    <row r="16" spans="1:12" s="1" customFormat="1" ht="14.4" customHeight="1">
      <c r="A16" s="142">
        <v>12</v>
      </c>
      <c r="B16" s="352" t="str">
        <f>Q_IS!B37</f>
        <v>임대료</v>
      </c>
      <c r="C16" s="352" t="str">
        <f>Q_IS!C37</f>
        <v>Rentals</v>
      </c>
      <c r="D16" s="956">
        <f>HLOOKUP(D$2,Q_IS!$26:$41,$A16,0)</f>
        <v>0.11799999999999999</v>
      </c>
      <c r="E16" s="956">
        <f>HLOOKUP(E$2,Q_IS!$26:$41,$A16,0)</f>
        <v>0.21</v>
      </c>
      <c r="F16" s="446">
        <f>D16/E16-1</f>
        <v>-0.43809523809523809</v>
      </c>
      <c r="G16" s="956">
        <f>HLOOKUP(G$2,Q_IS!$26:$41,$A16,0)</f>
        <v>0.15</v>
      </c>
      <c r="H16" s="446">
        <f>D16/G16-1</f>
        <v>-0.21333333333333337</v>
      </c>
      <c r="J16" s="956">
        <f>HLOOKUP(J$2,C_IS!$26:$41,$A16,0)</f>
        <v>0.26800000000000002</v>
      </c>
      <c r="K16" s="363">
        <f>HLOOKUP(K$2,C_IS!$26:$41,$A16,0)</f>
        <v>0.44599999999999995</v>
      </c>
      <c r="L16" s="446">
        <f>J16/K16-1</f>
        <v>-0.39910313901345285</v>
      </c>
    </row>
    <row r="17" spans="1:12" s="1" customFormat="1" ht="14.4" customHeight="1">
      <c r="A17" s="142">
        <v>16</v>
      </c>
      <c r="B17" s="786" t="s">
        <v>497</v>
      </c>
      <c r="C17" s="790" t="s">
        <v>505</v>
      </c>
      <c r="D17" s="957">
        <f>HLOOKUP(D$2,Q_IS!$26:$41,$A17,0)</f>
        <v>15.055999999999999</v>
      </c>
      <c r="E17" s="957">
        <f>HLOOKUP(E$2,Q_IS!$26:$41,$A17,0)</f>
        <v>0</v>
      </c>
      <c r="F17" s="787">
        <v>0</v>
      </c>
      <c r="G17" s="957">
        <f>HLOOKUP(G$2,Q_IS!$26:$41,$A17,0)</f>
        <v>1.8</v>
      </c>
      <c r="H17" s="787">
        <f>D17/G17-1</f>
        <v>7.3644444444444446</v>
      </c>
      <c r="J17" s="958">
        <f>HLOOKUP(J$2,C_IS!$26:$41,$A17,0)</f>
        <v>16.855999999999998</v>
      </c>
      <c r="K17" s="788">
        <v>0</v>
      </c>
      <c r="L17" s="787">
        <v>0</v>
      </c>
    </row>
    <row r="18" spans="1:12" ht="14.4" customHeight="1">
      <c r="L18" s="13"/>
    </row>
    <row r="19" spans="1:12" s="371" customFormat="1" ht="14.4" customHeight="1" thickBot="1">
      <c r="A19" s="142"/>
      <c r="B19" s="453" t="s">
        <v>470</v>
      </c>
      <c r="C19" s="454" t="s">
        <v>471</v>
      </c>
      <c r="D19" s="149" t="str">
        <f>+D2</f>
        <v>2Q26</v>
      </c>
      <c r="E19" s="149" t="str">
        <f>+E2</f>
        <v>2Q25</v>
      </c>
      <c r="F19" s="451" t="s">
        <v>77</v>
      </c>
      <c r="G19" s="149" t="str">
        <f>+G2</f>
        <v>1Q26</v>
      </c>
      <c r="H19" s="451" t="s">
        <v>9</v>
      </c>
      <c r="J19" s="149" t="str">
        <f>+J2</f>
        <v>2Q26 YTD</v>
      </c>
      <c r="K19" s="149" t="str">
        <f>+K2</f>
        <v>2Q25 YTD</v>
      </c>
      <c r="L19" s="149" t="str">
        <f>+L2</f>
        <v>YoY</v>
      </c>
    </row>
    <row r="20" spans="1:12" ht="14.4" customHeight="1">
      <c r="B20" s="369" t="s">
        <v>171</v>
      </c>
      <c r="C20" s="369" t="s">
        <v>212</v>
      </c>
      <c r="D20" s="959">
        <f>D3/D$3</f>
        <v>1</v>
      </c>
      <c r="E20" s="959">
        <f>E3/E$3</f>
        <v>1</v>
      </c>
      <c r="F20" s="683">
        <f>F3/F$3</f>
        <v>1</v>
      </c>
      <c r="G20" s="959">
        <f t="shared" ref="G20" si="3">G3/G$3</f>
        <v>1</v>
      </c>
      <c r="H20" s="684">
        <f>D20-G20</f>
        <v>0</v>
      </c>
      <c r="J20" s="965">
        <f t="shared" ref="J20:K20" si="4">J3/J$3</f>
        <v>1</v>
      </c>
      <c r="K20" s="965">
        <f t="shared" si="4"/>
        <v>1</v>
      </c>
      <c r="L20" s="965">
        <f t="shared" ref="L20" si="5">L3/L$3</f>
        <v>1</v>
      </c>
    </row>
    <row r="21" spans="1:12" ht="14.4" customHeight="1">
      <c r="B21" s="353" t="s">
        <v>98</v>
      </c>
      <c r="C21" s="354" t="s">
        <v>316</v>
      </c>
      <c r="D21" s="960">
        <f t="shared" ref="D21" si="6">D5/D$3</f>
        <v>0.64581674817089352</v>
      </c>
      <c r="E21" s="960">
        <f t="shared" ref="E21:E33" si="7">E5/E$3</f>
        <v>0.64113154987752752</v>
      </c>
      <c r="F21" s="685">
        <f t="shared" ref="F21:F32" si="8">D21-E21</f>
        <v>4.6851982933659997E-3</v>
      </c>
      <c r="G21" s="960">
        <f t="shared" ref="G21" si="9">G5/G$3</f>
        <v>0.70953162102944722</v>
      </c>
      <c r="H21" s="685">
        <f t="shared" ref="H21:H32" si="10">D21-G21</f>
        <v>-6.3714872858553706E-2</v>
      </c>
      <c r="J21" s="960">
        <f t="shared" ref="J21:K21" si="11">J5/J$3</f>
        <v>0.67464152079257245</v>
      </c>
      <c r="K21" s="960">
        <f t="shared" si="11"/>
        <v>0.66041758885764701</v>
      </c>
      <c r="L21" s="960">
        <f t="shared" ref="L21" si="12">L5/L$3</f>
        <v>1.1285177202864269</v>
      </c>
    </row>
    <row r="22" spans="1:12" ht="14.4" customHeight="1">
      <c r="B22" s="355" t="s">
        <v>99</v>
      </c>
      <c r="C22" s="356" t="s">
        <v>317</v>
      </c>
      <c r="D22" s="961">
        <f t="shared" ref="D22" si="13">D6/D$3</f>
        <v>0.21149399143257894</v>
      </c>
      <c r="E22" s="961">
        <f t="shared" si="7"/>
        <v>0.35886845012247254</v>
      </c>
      <c r="F22" s="686">
        <f t="shared" si="8"/>
        <v>-0.1473744586898936</v>
      </c>
      <c r="G22" s="961">
        <f t="shared" ref="G22" si="14">G6/G$3</f>
        <v>0.26981978364860681</v>
      </c>
      <c r="H22" s="686">
        <f t="shared" si="10"/>
        <v>-5.8325792216027877E-2</v>
      </c>
      <c r="J22" s="961">
        <f t="shared" ref="J22:K22" si="15">J6/J$3</f>
        <v>0.23788073008838076</v>
      </c>
      <c r="K22" s="961">
        <f t="shared" si="15"/>
        <v>0.33958241114235305</v>
      </c>
      <c r="L22" s="961">
        <f t="shared" ref="L22" si="16">L6/L$3</f>
        <v>-0.78708382076833672</v>
      </c>
    </row>
    <row r="23" spans="1:12" ht="14.4" customHeight="1">
      <c r="B23" s="352" t="s">
        <v>464</v>
      </c>
      <c r="C23" s="352" t="s">
        <v>465</v>
      </c>
      <c r="D23" s="962">
        <f t="shared" ref="D23" si="17">D7/D$3</f>
        <v>0.4664884946358846</v>
      </c>
      <c r="E23" s="962">
        <f t="shared" si="7"/>
        <v>0.54620335238461182</v>
      </c>
      <c r="F23" s="687">
        <f t="shared" si="8"/>
        <v>-7.9714857748727219E-2</v>
      </c>
      <c r="G23" s="962">
        <f t="shared" ref="G23" si="18">G7/G$3</f>
        <v>0.4836589310910489</v>
      </c>
      <c r="H23" s="687">
        <f t="shared" si="10"/>
        <v>-1.7170436455164306E-2</v>
      </c>
      <c r="J23" s="962">
        <f t="shared" ref="J23:K23" si="19">J7/J$3</f>
        <v>0.47425644432219788</v>
      </c>
      <c r="K23" s="962">
        <f t="shared" si="19"/>
        <v>0.50223507920971089</v>
      </c>
      <c r="L23" s="962">
        <f t="shared" ref="L23" si="20">L7/L$3</f>
        <v>0.66758435405197081</v>
      </c>
    </row>
    <row r="24" spans="1:12" ht="14.4" customHeight="1">
      <c r="B24" s="357" t="s">
        <v>98</v>
      </c>
      <c r="C24" s="357" t="s">
        <v>316</v>
      </c>
      <c r="D24" s="963">
        <f t="shared" ref="D24" si="21">D8/D$3</f>
        <v>0.39398764168467343</v>
      </c>
      <c r="E24" s="963">
        <f t="shared" si="7"/>
        <v>0.39455357571682437</v>
      </c>
      <c r="F24" s="688">
        <f t="shared" si="8"/>
        <v>-5.6593403215093874E-4</v>
      </c>
      <c r="G24" s="963">
        <f t="shared" ref="G24" si="22">G8/G$3</f>
        <v>0.40838332970071017</v>
      </c>
      <c r="H24" s="688">
        <f t="shared" si="10"/>
        <v>-1.4395688016036745E-2</v>
      </c>
      <c r="J24" s="963">
        <f t="shared" ref="J24:K24" si="23">J8/J$3</f>
        <v>0.40050028802889626</v>
      </c>
      <c r="K24" s="963">
        <f t="shared" si="23"/>
        <v>0.36636595447545778</v>
      </c>
      <c r="L24" s="963">
        <f t="shared" ref="L24" si="24">L8/L$3</f>
        <v>1.5559532817259374</v>
      </c>
    </row>
    <row r="25" spans="1:12" ht="14.4" customHeight="1">
      <c r="B25" s="357" t="s">
        <v>99</v>
      </c>
      <c r="C25" s="357" t="s">
        <v>317</v>
      </c>
      <c r="D25" s="963">
        <f t="shared" ref="D25" si="25">D9/D$3</f>
        <v>7.2500852951211184E-2</v>
      </c>
      <c r="E25" s="963">
        <f t="shared" si="7"/>
        <v>0.15164977666778737</v>
      </c>
      <c r="F25" s="688">
        <f t="shared" si="8"/>
        <v>-7.9148923716576183E-2</v>
      </c>
      <c r="G25" s="963">
        <f t="shared" ref="G25" si="26">G9/G$3</f>
        <v>7.5275601390338759E-2</v>
      </c>
      <c r="H25" s="688">
        <f t="shared" si="10"/>
        <v>-2.7747484391275751E-3</v>
      </c>
      <c r="J25" s="963">
        <f t="shared" ref="J25:K25" si="27">J9/J$3</f>
        <v>7.3756156293301636E-2</v>
      </c>
      <c r="K25" s="963">
        <f t="shared" si="27"/>
        <v>0.13586912473425314</v>
      </c>
      <c r="L25" s="963">
        <f t="shared" ref="L25" si="28">L9/L$3</f>
        <v>-1.7278688495378529</v>
      </c>
    </row>
    <row r="26" spans="1:12" ht="14.4" customHeight="1">
      <c r="B26" s="352" t="s">
        <v>466</v>
      </c>
      <c r="C26" s="352" t="s">
        <v>467</v>
      </c>
      <c r="D26" s="962">
        <f t="shared" ref="D26" si="29">D10/D$3</f>
        <v>0.37183934190075435</v>
      </c>
      <c r="E26" s="962">
        <f t="shared" si="7"/>
        <v>0.42274626578934732</v>
      </c>
      <c r="F26" s="687">
        <f t="shared" si="8"/>
        <v>-5.090692388859297E-2</v>
      </c>
      <c r="G26" s="962">
        <f t="shared" ref="G26" si="30">G10/G$3</f>
        <v>0.47029470134101165</v>
      </c>
      <c r="H26" s="687">
        <f t="shared" si="10"/>
        <v>-9.8455359440257295E-2</v>
      </c>
      <c r="J26" s="962">
        <f t="shared" ref="J26:K26" si="31">J10/J$3</f>
        <v>0.4163808001494636</v>
      </c>
      <c r="K26" s="962">
        <f t="shared" si="31"/>
        <v>0.47503382232834784</v>
      </c>
      <c r="L26" s="962">
        <f t="shared" ref="L26" si="32">L10/L$3</f>
        <v>0.26323694283598603</v>
      </c>
    </row>
    <row r="27" spans="1:12" ht="14.4" customHeight="1">
      <c r="B27" s="357" t="s">
        <v>98</v>
      </c>
      <c r="C27" s="357" t="s">
        <v>316</v>
      </c>
      <c r="D27" s="963">
        <f t="shared" ref="D27" si="33">D11/D$3</f>
        <v>0.25046438454831493</v>
      </c>
      <c r="E27" s="963">
        <f t="shared" si="7"/>
        <v>0.24166706690360695</v>
      </c>
      <c r="F27" s="688">
        <f t="shared" si="8"/>
        <v>8.7973176447079804E-3</v>
      </c>
      <c r="G27" s="963">
        <f t="shared" ref="G27" si="34">G11/G$3</f>
        <v>0.29915226044761567</v>
      </c>
      <c r="H27" s="688">
        <f t="shared" si="10"/>
        <v>-4.8687875899300737E-2</v>
      </c>
      <c r="J27" s="963">
        <f t="shared" ref="J27:K27" si="35">J11/J$3</f>
        <v>0.27249090503349954</v>
      </c>
      <c r="K27" s="963">
        <f t="shared" si="35"/>
        <v>0.28799790519772817</v>
      </c>
      <c r="L27" s="963">
        <f t="shared" ref="L27" si="36">L11/L$3</f>
        <v>0.67870760811684794</v>
      </c>
    </row>
    <row r="28" spans="1:12" ht="14.4" customHeight="1">
      <c r="B28" s="357" t="s">
        <v>99</v>
      </c>
      <c r="C28" s="357" t="s">
        <v>317</v>
      </c>
      <c r="D28" s="963">
        <f t="shared" ref="D28" si="37">D12/D$3</f>
        <v>0.12137495735243944</v>
      </c>
      <c r="E28" s="963">
        <f t="shared" si="7"/>
        <v>0.18107919888574037</v>
      </c>
      <c r="F28" s="688">
        <f t="shared" si="8"/>
        <v>-5.9704241533300922E-2</v>
      </c>
      <c r="G28" s="963">
        <f t="shared" ref="G28" si="38">G12/G$3</f>
        <v>0.17114244089339592</v>
      </c>
      <c r="H28" s="688">
        <f t="shared" si="10"/>
        <v>-4.9767483540956475E-2</v>
      </c>
      <c r="J28" s="963">
        <f t="shared" ref="J28:K28" si="39">J12/J$3</f>
        <v>0.14388989511596403</v>
      </c>
      <c r="K28" s="963">
        <f t="shared" si="39"/>
        <v>0.18703591713061965</v>
      </c>
      <c r="L28" s="963">
        <f t="shared" ref="L28" si="40">L12/L$3</f>
        <v>-0.37650478756348293</v>
      </c>
    </row>
    <row r="29" spans="1:12" ht="14.4" customHeight="1">
      <c r="B29" s="352" t="s">
        <v>468</v>
      </c>
      <c r="C29" s="352" t="s">
        <v>468</v>
      </c>
      <c r="D29" s="962">
        <f t="shared" ref="D29" si="41">D13/D$3</f>
        <v>1.7864589256605633E-2</v>
      </c>
      <c r="E29" s="962">
        <f t="shared" si="7"/>
        <v>2.8528889102348593E-2</v>
      </c>
      <c r="F29" s="687">
        <f t="shared" si="8"/>
        <v>-1.066429984574296E-2</v>
      </c>
      <c r="G29" s="962">
        <f t="shared" ref="G29" si="42">G13/G$3</f>
        <v>2.3677055969164768E-2</v>
      </c>
      <c r="H29" s="687">
        <f t="shared" si="10"/>
        <v>-5.8124667125591355E-3</v>
      </c>
      <c r="J29" s="962">
        <f t="shared" ref="J29:K29" si="43">J13/J$3</f>
        <v>2.0494164171281182E-2</v>
      </c>
      <c r="K29" s="962">
        <f t="shared" si="43"/>
        <v>1.9950497827266097E-2</v>
      </c>
      <c r="L29" s="962">
        <f t="shared" ref="L29" si="44">L13/L$3</f>
        <v>1.1626075440511578</v>
      </c>
    </row>
    <row r="30" spans="1:12" ht="14.4" customHeight="1">
      <c r="B30" s="357" t="s">
        <v>98</v>
      </c>
      <c r="C30" s="357" t="s">
        <v>316</v>
      </c>
      <c r="D30" s="963">
        <f t="shared" ref="D30" si="45">D14/D$3</f>
        <v>1.3647219379051517E-3</v>
      </c>
      <c r="E30" s="963">
        <f t="shared" si="7"/>
        <v>4.910907257096201E-3</v>
      </c>
      <c r="F30" s="688">
        <f t="shared" si="8"/>
        <v>-3.5461853191910493E-3</v>
      </c>
      <c r="G30" s="963">
        <f t="shared" ref="G30" si="46">G14/G$3</f>
        <v>1.9960308811214481E-3</v>
      </c>
      <c r="H30" s="688">
        <f t="shared" si="10"/>
        <v>-6.3130894321629643E-4</v>
      </c>
      <c r="J30" s="963">
        <f t="shared" ref="J30:K30" si="47">J14/J$3</f>
        <v>1.6503277301766054E-3</v>
      </c>
      <c r="K30" s="963">
        <f t="shared" si="47"/>
        <v>6.0537291844610566E-3</v>
      </c>
      <c r="L30" s="963">
        <f t="shared" ref="L30" si="48">L14/L$3</f>
        <v>0</v>
      </c>
    </row>
    <row r="31" spans="1:12" ht="14.4" customHeight="1">
      <c r="B31" s="357" t="s">
        <v>99</v>
      </c>
      <c r="C31" s="357" t="s">
        <v>317</v>
      </c>
      <c r="D31" s="963">
        <f t="shared" ref="D31" si="49">D15/D$3</f>
        <v>1.6499867318700481E-2</v>
      </c>
      <c r="E31" s="963">
        <f t="shared" si="7"/>
        <v>2.3617981845252392E-2</v>
      </c>
      <c r="F31" s="688">
        <f t="shared" si="8"/>
        <v>-7.1181145265519115E-3</v>
      </c>
      <c r="G31" s="963">
        <f t="shared" ref="G31" si="50">G15/G$3</f>
        <v>2.1681025088043319E-2</v>
      </c>
      <c r="H31" s="688">
        <f t="shared" si="10"/>
        <v>-5.1811577693428382E-3</v>
      </c>
      <c r="J31" s="963">
        <f t="shared" ref="J31:K31" si="51">J15/J$3</f>
        <v>1.8843836441104576E-2</v>
      </c>
      <c r="K31" s="963">
        <f t="shared" si="51"/>
        <v>1.3896768642805042E-2</v>
      </c>
      <c r="L31" s="963">
        <f t="shared" ref="L31" si="52">L15/L$3</f>
        <v>3.1242029813528038</v>
      </c>
    </row>
    <row r="32" spans="1:12" ht="14.4" customHeight="1">
      <c r="B32" s="352" t="s">
        <v>469</v>
      </c>
      <c r="C32" s="352" t="s">
        <v>309</v>
      </c>
      <c r="D32" s="962">
        <f t="shared" ref="D32:D33" si="53">D16/D$3</f>
        <v>1.1183138102278326E-3</v>
      </c>
      <c r="E32" s="962">
        <f t="shared" si="7"/>
        <v>2.521492723692426E-3</v>
      </c>
      <c r="F32" s="687">
        <f t="shared" si="8"/>
        <v>-1.4031789134645934E-3</v>
      </c>
      <c r="G32" s="962">
        <f t="shared" ref="G32:G33" si="54">G16/G$3</f>
        <v>1.7207162768288348E-3</v>
      </c>
      <c r="H32" s="687">
        <f t="shared" si="10"/>
        <v>-6.0240246660100212E-4</v>
      </c>
      <c r="J32" s="962">
        <f t="shared" ref="J32:K33" si="55">J16/J$3</f>
        <v>1.3908422380104729E-3</v>
      </c>
      <c r="K32" s="962">
        <f t="shared" si="55"/>
        <v>2.780600634675212E-3</v>
      </c>
      <c r="L32" s="962">
        <f t="shared" ref="L32:L33" si="56">L16/L$3</f>
        <v>-1.982377870318988</v>
      </c>
    </row>
    <row r="33" spans="2:12" ht="14.4" customHeight="1">
      <c r="B33" s="786" t="s">
        <v>497</v>
      </c>
      <c r="C33" s="790" t="s">
        <v>505</v>
      </c>
      <c r="D33" s="964">
        <f t="shared" si="53"/>
        <v>0.14268926039652752</v>
      </c>
      <c r="E33" s="964">
        <f t="shared" si="7"/>
        <v>0</v>
      </c>
      <c r="F33" s="789">
        <f t="shared" ref="F33" si="57">D33-E33</f>
        <v>0.14268926039652752</v>
      </c>
      <c r="G33" s="964">
        <f t="shared" si="54"/>
        <v>2.0648595321946017E-2</v>
      </c>
      <c r="H33" s="789">
        <f t="shared" ref="H33" si="58">D33-G33</f>
        <v>0.1220406650745815</v>
      </c>
      <c r="J33" s="964">
        <f t="shared" si="55"/>
        <v>8.7477749119046738E-2</v>
      </c>
      <c r="K33" s="964">
        <f t="shared" si="55"/>
        <v>0</v>
      </c>
      <c r="L33" s="964">
        <f t="shared" si="56"/>
        <v>0</v>
      </c>
    </row>
    <row r="34" spans="2:12" ht="14.4" customHeight="1">
      <c r="B34" s="13" t="s">
        <v>456</v>
      </c>
    </row>
  </sheetData>
  <phoneticPr fontId="3" type="noConversion"/>
  <conditionalFormatting sqref="H20:H33 F21:F33">
    <cfRule type="cellIs" dxfId="1" priority="7" operator="lessThan">
      <formula>0</formula>
    </cfRule>
    <cfRule type="cellIs" dxfId="0" priority="8" operator="greaterThan">
      <formula>0</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75203-A245-4856-8B4D-FF1EF784A32F}">
  <dimension ref="A1:M21"/>
  <sheetViews>
    <sheetView zoomScaleNormal="100" workbookViewId="0">
      <selection activeCell="F13" sqref="F13"/>
    </sheetView>
  </sheetViews>
  <sheetFormatPr defaultRowHeight="14.4" customHeight="1"/>
  <cols>
    <col min="1" max="1" width="8.796875" style="1027"/>
    <col min="2" max="2" width="14.8984375" customWidth="1"/>
    <col min="3" max="3" width="16.19921875" customWidth="1"/>
    <col min="4" max="5" width="14.8984375" style="351" customWidth="1"/>
    <col min="6" max="6" width="14.8984375" style="452" customWidth="1"/>
    <col min="7" max="7" width="14.8984375" style="351" customWidth="1"/>
    <col min="8" max="8" width="14.8984375" style="452" customWidth="1"/>
    <col min="9" max="9" width="7.8984375" style="452" customWidth="1"/>
    <col min="10" max="11" width="14.8984375" style="351" customWidth="1"/>
    <col min="12" max="12" width="14.8984375" customWidth="1"/>
  </cols>
  <sheetData>
    <row r="1" spans="1:12" ht="14.4" customHeight="1">
      <c r="B1" s="130" t="s">
        <v>195</v>
      </c>
      <c r="C1" s="13" t="s">
        <v>463</v>
      </c>
      <c r="J1" s="675" t="s">
        <v>454</v>
      </c>
      <c r="K1" s="675" t="s">
        <v>281</v>
      </c>
      <c r="L1" s="675" t="s">
        <v>352</v>
      </c>
    </row>
    <row r="2" spans="1:12" s="456" customFormat="1" ht="14.4" customHeight="1" thickBot="1">
      <c r="A2" s="1028"/>
      <c r="B2" s="453"/>
      <c r="C2" s="11"/>
      <c r="D2" s="149" t="s">
        <v>475</v>
      </c>
      <c r="E2" s="149" t="s">
        <v>325</v>
      </c>
      <c r="F2" s="451" t="s">
        <v>77</v>
      </c>
      <c r="G2" s="149" t="s">
        <v>474</v>
      </c>
      <c r="H2" s="451" t="s">
        <v>9</v>
      </c>
      <c r="I2" s="452"/>
      <c r="J2" s="149" t="s">
        <v>478</v>
      </c>
      <c r="K2" s="149" t="s">
        <v>326</v>
      </c>
      <c r="L2" s="149" t="s">
        <v>0</v>
      </c>
    </row>
    <row r="3" spans="1:12" s="1" customFormat="1" ht="14.4" customHeight="1">
      <c r="A3" s="1029">
        <f>INDEX('Q_SG&amp;A'!$A$2:$A$36,MATCH('SG&amp;A'!$C3,'Q_SG&amp;A'!$C$2:$C$36,0))</f>
        <v>35</v>
      </c>
      <c r="B3" s="791" t="s">
        <v>237</v>
      </c>
      <c r="C3" s="791" t="s">
        <v>7</v>
      </c>
      <c r="D3" s="792">
        <f>HLOOKUP(D$2,'Q_SG&amp;A'!$2:$36,$A3,0)/1000</f>
        <v>32.576833000000001</v>
      </c>
      <c r="E3" s="792">
        <f>HLOOKUP(E$2,'Q_SG&amp;A'!$2:$36,$A3,0)/1000</f>
        <v>21.007000000000001</v>
      </c>
      <c r="F3" s="793">
        <f>D3/E3-1</f>
        <v>0.55076084162422045</v>
      </c>
      <c r="G3" s="792">
        <f>HLOOKUP(G$2,'Q_SG&amp;A'!$2:$36,$A3,0)/1000</f>
        <v>27.849183</v>
      </c>
      <c r="H3" s="793">
        <f>D3/G3-1</f>
        <v>0.16975901950157746</v>
      </c>
      <c r="I3" s="452"/>
      <c r="J3" s="792">
        <f>HLOOKUP(J$2,'C_SG&amp;A'!$2:$36,'SG&amp;A'!$A3,0)/1000</f>
        <v>60.426015999999997</v>
      </c>
      <c r="K3" s="792">
        <f>HLOOKUP(K$2,'C_SG&amp;A'!$2:$36,'SG&amp;A'!$A3,0)/1000</f>
        <v>43.552</v>
      </c>
      <c r="L3" s="793">
        <f>J3/K3-1</f>
        <v>0.38744526083761932</v>
      </c>
    </row>
    <row r="4" spans="1:12" s="350" customFormat="1" ht="14.4" customHeight="1">
      <c r="A4" s="1030"/>
      <c r="B4" s="794" t="s">
        <v>102</v>
      </c>
      <c r="C4" s="794" t="s">
        <v>89</v>
      </c>
      <c r="D4" s="795">
        <f>IFERROR(D3/D$21,)</f>
        <v>0.30874125005923331</v>
      </c>
      <c r="E4" s="795">
        <f>IFERROR(E3/E$21,)</f>
        <v>0.25223332212669902</v>
      </c>
      <c r="F4" s="796"/>
      <c r="G4" s="795">
        <f>IFERROR(G3/G$21,)</f>
        <v>0.31946295382850587</v>
      </c>
      <c r="H4" s="796"/>
      <c r="I4" s="452"/>
      <c r="J4" s="795">
        <f>IFERROR(J3/J$21,)</f>
        <v>0.31359186257719651</v>
      </c>
      <c r="K4" s="795">
        <f>IFERROR(K3/K$21,)</f>
        <v>0.27152627542909158</v>
      </c>
      <c r="L4" s="796"/>
    </row>
    <row r="5" spans="1:12" s="1" customFormat="1" ht="14.4" customHeight="1">
      <c r="A5" s="1029">
        <f>INDEX('Q_SG&amp;A'!$A$2:$A$36,MATCH('SG&amp;A'!$C5,'Q_SG&amp;A'!$C$2:$C$36,0))</f>
        <v>2</v>
      </c>
      <c r="B5" s="797" t="s">
        <v>101</v>
      </c>
      <c r="C5" s="797" t="str">
        <f>VLOOKUP(B5,'Q_SG&amp;A'!$B$2:$C$36,2,0)</f>
        <v>Salaries</v>
      </c>
      <c r="D5" s="798">
        <f>HLOOKUP(D$2,'Q_SG&amp;A'!$2:$36,$A5,0)/1000</f>
        <v>5.5399229999999999</v>
      </c>
      <c r="E5" s="966">
        <f>HLOOKUP(E$2,'Q_SG&amp;A'!$2:$36,$A5,0)/1000</f>
        <v>3.7766999999999999</v>
      </c>
      <c r="F5" s="799">
        <f>D5/E5-1</f>
        <v>0.46686869489236638</v>
      </c>
      <c r="G5" s="798">
        <f>HLOOKUP(G$2,'Q_SG&amp;A'!$2:$36,$A5,0)/1000</f>
        <v>4.4690000000000003</v>
      </c>
      <c r="H5" s="799">
        <f>D5/G5-1</f>
        <v>0.23963369881405217</v>
      </c>
      <c r="I5" s="452"/>
      <c r="J5" s="800">
        <f>HLOOKUP(J$2,'C_SG&amp;A'!$2:$36,'SG&amp;A'!$A5,0)/1000</f>
        <v>10.008922999999999</v>
      </c>
      <c r="K5" s="800">
        <f>HLOOKUP(K$2,'C_SG&amp;A'!$2:$36,'SG&amp;A'!$A5,0)/1000</f>
        <v>7.6586999999999996</v>
      </c>
      <c r="L5" s="799">
        <f>J5/K5-1</f>
        <v>0.30686970373562095</v>
      </c>
    </row>
    <row r="6" spans="1:12" s="350" customFormat="1" ht="14.4" customHeight="1">
      <c r="A6" s="1030"/>
      <c r="B6" s="721" t="s">
        <v>102</v>
      </c>
      <c r="C6" s="721" t="s">
        <v>88</v>
      </c>
      <c r="D6" s="722">
        <f>IFERROR(D5/D$21,)</f>
        <v>5.2503653508979765E-2</v>
      </c>
      <c r="E6" s="722">
        <f>IFERROR(E5/E$21,)</f>
        <v>4.5347245569377068E-2</v>
      </c>
      <c r="F6" s="723"/>
      <c r="G6" s="722">
        <f>IFERROR(G5/G$21,)</f>
        <v>5.1264697447662752E-2</v>
      </c>
      <c r="H6" s="723"/>
      <c r="I6" s="452"/>
      <c r="J6" s="722">
        <f>IFERROR(J5/J$21,)</f>
        <v>5.1943136644351025E-2</v>
      </c>
      <c r="K6" s="722">
        <f>IFERROR(K5/K$21,)</f>
        <v>4.7748399284275891E-2</v>
      </c>
      <c r="L6" s="723"/>
    </row>
    <row r="7" spans="1:12" s="1" customFormat="1" ht="14.4" customHeight="1">
      <c r="A7" s="1029">
        <f>INDEX('Q_SG&amp;A'!$A$2:$A$36,MATCH('SG&amp;A'!$C7,'Q_SG&amp;A'!$C$2:$C$36,0))</f>
        <v>3</v>
      </c>
      <c r="B7" s="797" t="s">
        <v>103</v>
      </c>
      <c r="C7" s="797" t="str">
        <f>VLOOKUP(B7,'Q_SG&amp;A'!$B$2:$C$36,2,0)</f>
        <v>R&amp;D Expenses</v>
      </c>
      <c r="D7" s="800">
        <f>HLOOKUP(D$2,'Q_SG&amp;A'!$2:$36,$A7,0)/1000</f>
        <v>5.9606980000000007</v>
      </c>
      <c r="E7" s="800">
        <f>HLOOKUP(E$2,'Q_SG&amp;A'!$2:$36,$A7,0)/1000</f>
        <v>4.2409999999999997</v>
      </c>
      <c r="F7" s="799">
        <f>D7/E7-1</f>
        <v>0.40549351568026437</v>
      </c>
      <c r="G7" s="798">
        <f>HLOOKUP(G$2,'Q_SG&amp;A'!$2:$36,$A7,0)/1000</f>
        <v>4.7063170000000003</v>
      </c>
      <c r="H7" s="799">
        <f t="shared" ref="H7:H19" si="0">D7/G7-1</f>
        <v>0.26653134499864772</v>
      </c>
      <c r="I7" s="452"/>
      <c r="J7" s="800">
        <f>HLOOKUP(J$2,'C_SG&amp;A'!$2:$36,'SG&amp;A'!$A7,0)/1000</f>
        <v>10.667014999999999</v>
      </c>
      <c r="K7" s="800">
        <f>HLOOKUP(K$2,'C_SG&amp;A'!$2:$36,'SG&amp;A'!$A7,0)/1000</f>
        <v>8.3970000000000002</v>
      </c>
      <c r="L7" s="799">
        <f>J7/K7-1</f>
        <v>0.27033642967726546</v>
      </c>
    </row>
    <row r="8" spans="1:12" s="350" customFormat="1" ht="14.4" customHeight="1">
      <c r="A8" s="1030"/>
      <c r="B8" s="721" t="s">
        <v>102</v>
      </c>
      <c r="C8" s="721" t="s">
        <v>89</v>
      </c>
      <c r="D8" s="722">
        <f>IFERROR(D7/D$21,)</f>
        <v>5.6491475145713885E-2</v>
      </c>
      <c r="E8" s="722">
        <f>IFERROR(E7/E$21,)</f>
        <v>5.0922145910378934E-2</v>
      </c>
      <c r="F8" s="723"/>
      <c r="G8" s="722">
        <f>IFERROR(G7/G$21,)</f>
        <v>5.3987003154574137E-2</v>
      </c>
      <c r="H8" s="723"/>
      <c r="I8" s="452"/>
      <c r="J8" s="722">
        <f>IFERROR(J7/J$21,)</f>
        <v>5.5358425450204987E-2</v>
      </c>
      <c r="K8" s="722">
        <f>IFERROR(K7/K$21,)</f>
        <v>5.2351353204860444E-2</v>
      </c>
      <c r="L8" s="723"/>
    </row>
    <row r="9" spans="1:12" s="1" customFormat="1" ht="14.4" customHeight="1">
      <c r="A9" s="1029">
        <f>INDEX('Q_SG&amp;A'!$A$2:$A$36,MATCH('SG&amp;A'!$C9,'Q_SG&amp;A'!$C$2:$C$36,0))</f>
        <v>4</v>
      </c>
      <c r="B9" s="797" t="s">
        <v>104</v>
      </c>
      <c r="C9" s="797" t="str">
        <f>VLOOKUP(B9,'Q_SG&amp;A'!$B$2:$C$36,2,0)</f>
        <v>Advertising</v>
      </c>
      <c r="D9" s="800">
        <f>HLOOKUP(D$2,'Q_SG&amp;A'!$2:$36,$A9,0)/1000</f>
        <v>5.0889290000000003</v>
      </c>
      <c r="E9" s="800">
        <f>HLOOKUP(E$2,'Q_SG&amp;A'!$2:$36,$A9,0)/1000</f>
        <v>2.5000999999999998</v>
      </c>
      <c r="F9" s="799">
        <f>D9/E9-1</f>
        <v>1.0354901803927845</v>
      </c>
      <c r="G9" s="798">
        <f>HLOOKUP(G$2,'Q_SG&amp;A'!$2:$36,$A9,0)/1000</f>
        <v>5.4481489999999999</v>
      </c>
      <c r="H9" s="799">
        <f t="shared" si="0"/>
        <v>-6.5934320078250397E-2</v>
      </c>
      <c r="I9" s="452"/>
      <c r="J9" s="800">
        <f>HLOOKUP(J$2,'C_SG&amp;A'!$2:$36,'SG&amp;A'!$A9,0)/1000</f>
        <v>10.537078000000001</v>
      </c>
      <c r="K9" s="800">
        <f>HLOOKUP(K$2,'C_SG&amp;A'!$2:$36,'SG&amp;A'!$A9,0)/1000</f>
        <v>6.1411000000000007</v>
      </c>
      <c r="L9" s="799">
        <f>J9/K9-1</f>
        <v>0.7158290859943659</v>
      </c>
    </row>
    <row r="10" spans="1:12" s="350" customFormat="1" ht="14.4" customHeight="1">
      <c r="A10" s="1030"/>
      <c r="B10" s="721" t="s">
        <v>102</v>
      </c>
      <c r="C10" s="721" t="s">
        <v>89</v>
      </c>
      <c r="D10" s="722">
        <f>IFERROR(D9/D$21,)</f>
        <v>4.82294365729991E-2</v>
      </c>
      <c r="E10" s="722">
        <f>IFERROR(E9/E$21,)</f>
        <v>3.0018971230968729E-2</v>
      </c>
      <c r="F10" s="723"/>
      <c r="G10" s="722">
        <f>IFERROR(G9/G$21,)</f>
        <v>6.2496690564955548E-2</v>
      </c>
      <c r="H10" s="723"/>
      <c r="I10" s="452"/>
      <c r="J10" s="722">
        <f>IFERROR(J9/J$21,)</f>
        <v>5.4684093621879711E-2</v>
      </c>
      <c r="K10" s="722">
        <f>IFERROR(K9/K$21,)</f>
        <v>3.8286875689694952E-2</v>
      </c>
      <c r="L10" s="723"/>
    </row>
    <row r="11" spans="1:12" s="1" customFormat="1" ht="14.4" customHeight="1">
      <c r="A11" s="1029">
        <f>INDEX('Q_SG&amp;A'!$A$2:$A$36,MATCH('SG&amp;A'!$C11,'Q_SG&amp;A'!$C$2:$C$36,0))</f>
        <v>5</v>
      </c>
      <c r="B11" s="797" t="s">
        <v>55</v>
      </c>
      <c r="C11" s="797" t="str">
        <f>VLOOKUP(B11,'Q_SG&amp;A'!$B$2:$C$36,2,0)</f>
        <v>Commission</v>
      </c>
      <c r="D11" s="800">
        <f>HLOOKUP(D$2,'Q_SG&amp;A'!$2:$36,$A11,0)/1000</f>
        <v>3.3590619999999998</v>
      </c>
      <c r="E11" s="800">
        <f>HLOOKUP(E$2,'Q_SG&amp;A'!$2:$36,$A11,0)/1000</f>
        <v>1.5940000000000001</v>
      </c>
      <c r="F11" s="799">
        <f t="shared" ref="F11:F19" si="1">D11/E11-1</f>
        <v>1.1073161856963609</v>
      </c>
      <c r="G11" s="798">
        <f>HLOOKUP(G$2,'Q_SG&amp;A'!$2:$36,$A11,0)/1000</f>
        <v>5.4090980000000002</v>
      </c>
      <c r="H11" s="799">
        <f t="shared" si="0"/>
        <v>-0.37899775526344692</v>
      </c>
      <c r="I11" s="452"/>
      <c r="J11" s="800">
        <f>HLOOKUP(J$2,'C_SG&amp;A'!$2:$36,'SG&amp;A'!$A11,0)/1000</f>
        <v>8.76816</v>
      </c>
      <c r="K11" s="800">
        <f>HLOOKUP(K$2,'C_SG&amp;A'!$2:$36,'SG&amp;A'!$A11,0)/1000</f>
        <v>3.9689999999999999</v>
      </c>
      <c r="L11" s="799">
        <f t="shared" ref="L11:L19" si="2">J11/K11-1</f>
        <v>1.2091609977324262</v>
      </c>
    </row>
    <row r="12" spans="1:12" s="350" customFormat="1" ht="14.4" customHeight="1">
      <c r="A12" s="1030"/>
      <c r="B12" s="721" t="s">
        <v>102</v>
      </c>
      <c r="C12" s="721" t="s">
        <v>89</v>
      </c>
      <c r="D12" s="722">
        <f>IFERROR(D11/D$21,)</f>
        <v>3.183492394446287E-2</v>
      </c>
      <c r="E12" s="722">
        <f>IFERROR(E11/E$21,)</f>
        <v>1.9139330483646317E-2</v>
      </c>
      <c r="F12" s="723"/>
      <c r="G12" s="722">
        <f>IFERROR(G11/G$21,)</f>
        <v>6.2048729566963008E-2</v>
      </c>
      <c r="H12" s="723"/>
      <c r="I12" s="452"/>
      <c r="J12" s="722">
        <f>IFERROR(J11/J$21,)</f>
        <v>4.5503970107426434E-2</v>
      </c>
      <c r="K12" s="722">
        <f>IFERROR(K11/K$21,)</f>
        <v>2.474485183638098E-2</v>
      </c>
      <c r="L12" s="723"/>
    </row>
    <row r="13" spans="1:12" s="1" customFormat="1" ht="14.4" customHeight="1">
      <c r="A13" s="1029">
        <f>INDEX('Q_SG&amp;A'!$A$2:$A$36,MATCH("Depreciation",'Q_SG&amp;A'!$C$2:$C$36,0))</f>
        <v>7</v>
      </c>
      <c r="B13" s="801" t="s">
        <v>213</v>
      </c>
      <c r="C13" s="797" t="s">
        <v>506</v>
      </c>
      <c r="D13" s="800">
        <f>((HLOOKUP(D$2,'Q_SG&amp;A'!$2:$36,$A13,0)+(HLOOKUP(D$2,'Q_SG&amp;A'!$2:$36,$A14,0)))/1000)</f>
        <v>3.0325630000000001</v>
      </c>
      <c r="E13" s="800">
        <f>(HLOOKUP(E$2,'Q_SG&amp;A'!$2:$36,$A13,0)+(HLOOKUP(E$2,'Q_SG&amp;A'!$2:$36,$A14,0)))/1000</f>
        <v>2.6963000000000004</v>
      </c>
      <c r="F13" s="799">
        <f>D13/E13-1</f>
        <v>0.12471275451544694</v>
      </c>
      <c r="G13" s="798">
        <f>(HLOOKUP(G$2,'Q_SG&amp;A'!$2:$36,$A13,0)+(HLOOKUP(G$2,'Q_SG&amp;A'!$2:$36,$A14,0)))/1000</f>
        <v>2.7687560000000002</v>
      </c>
      <c r="H13" s="799">
        <f>D13/G13-1</f>
        <v>9.5279974111116994E-2</v>
      </c>
      <c r="I13" s="452"/>
      <c r="J13" s="800">
        <f>(HLOOKUP(J$2,'C_SG&amp;A'!$2:$36,'SG&amp;A'!$A13,0)+(HLOOKUP(J$2,'C_SG&amp;A'!$2:$36,'SG&amp;A'!$A14,0)))/1000</f>
        <v>5.8013189999999994</v>
      </c>
      <c r="K13" s="800">
        <f>(HLOOKUP(K$2,'C_SG&amp;A'!$2:$36,'SG&amp;A'!$A13,0)+(HLOOKUP(K$2,'C_SG&amp;A'!$2:$36,'SG&amp;A'!$A14,0)))/1000</f>
        <v>5.3333000000000004</v>
      </c>
      <c r="L13" s="799">
        <f>J13/K13-1</f>
        <v>8.775411096319341E-2</v>
      </c>
    </row>
    <row r="14" spans="1:12" s="350" customFormat="1" ht="14.4" customHeight="1">
      <c r="A14" s="1029">
        <f>INDEX('Q_SG&amp;A'!$A$2:$A$36,MATCH("Amortization of Intangible Assets",'Q_SG&amp;A'!$C$2:$C$36,0))</f>
        <v>8</v>
      </c>
      <c r="B14" s="721" t="s">
        <v>102</v>
      </c>
      <c r="C14" s="721" t="s">
        <v>89</v>
      </c>
      <c r="D14" s="722">
        <f>IFERROR(D13/D$21,)</f>
        <v>2.8740586646448373E-2</v>
      </c>
      <c r="E14" s="722">
        <f>IFERROR(E13/E$21,)</f>
        <v>3.2374765861389945E-2</v>
      </c>
      <c r="F14" s="723"/>
      <c r="G14" s="722">
        <f>IFERROR(G13/G$21,)</f>
        <v>3.1760894751935762E-2</v>
      </c>
      <c r="H14" s="723"/>
      <c r="I14" s="452"/>
      <c r="J14" s="722">
        <f>IFERROR(J13/J$21,)</f>
        <v>3.0107006071929003E-2</v>
      </c>
      <c r="K14" s="722">
        <f>IFERROR(K13/K$21,)</f>
        <v>3.3250621894424466E-2</v>
      </c>
      <c r="L14" s="723"/>
    </row>
    <row r="15" spans="1:12" s="3" customFormat="1" ht="14.4" customHeight="1">
      <c r="A15" s="1029">
        <f>INDEX('Q_SG&amp;A'!$A$2:$A$36,MATCH('SG&amp;A'!$C15,'Q_SG&amp;A'!$C$2:$C$36,0))</f>
        <v>6</v>
      </c>
      <c r="B15" s="727" t="s">
        <v>57</v>
      </c>
      <c r="C15" s="719" t="str">
        <f>VLOOKUP(B15,'Q_SG&amp;A'!$B$2:$C$36,2,0)</f>
        <v xml:space="preserve">Sales Commissions </v>
      </c>
      <c r="D15" s="720">
        <f>HLOOKUP(D$2,'Q_SG&amp;A'!$2:$36,$A15,0)/1000</f>
        <v>1.5444329999999999</v>
      </c>
      <c r="E15" s="720">
        <f>HLOOKUP(E$2,'Q_SG&amp;A'!$2:$36,$A15,0)/1000</f>
        <v>1.7857000000000001</v>
      </c>
      <c r="F15" s="445">
        <f t="shared" si="1"/>
        <v>-0.13511060088480709</v>
      </c>
      <c r="G15" s="720">
        <f>HLOOKUP(G$2,'Q_SG&amp;A'!$2:$36,$A15,0)/1000</f>
        <v>0.77682200000000001</v>
      </c>
      <c r="H15" s="445">
        <f t="shared" si="0"/>
        <v>0.98814271480467841</v>
      </c>
      <c r="I15" s="452"/>
      <c r="J15" s="720">
        <f>HLOOKUP(J$2,'C_SG&amp;A'!$2:$36,'SG&amp;A'!$A15,0)/1000</f>
        <v>2.3212550000000003</v>
      </c>
      <c r="K15" s="720">
        <f>HLOOKUP(K$2,'C_SG&amp;A'!$2:$36,'SG&amp;A'!$A15,0)/1000</f>
        <v>3.3167</v>
      </c>
      <c r="L15" s="445">
        <f t="shared" si="2"/>
        <v>-0.30013115446075911</v>
      </c>
    </row>
    <row r="16" spans="1:12" s="350" customFormat="1" ht="14.4" customHeight="1">
      <c r="A16" s="1030"/>
      <c r="B16" s="721" t="s">
        <v>102</v>
      </c>
      <c r="C16" s="721" t="s">
        <v>89</v>
      </c>
      <c r="D16" s="722">
        <f>IFERROR(D15/D$21,)</f>
        <v>1.4637094252002084E-2</v>
      </c>
      <c r="E16" s="722">
        <f>IFERROR(E15/E$21,)</f>
        <v>2.1441093127131262E-2</v>
      </c>
      <c r="F16" s="723"/>
      <c r="G16" s="722">
        <f>IFERROR(G15/G$21,)</f>
        <v>8.9110639518210494E-3</v>
      </c>
      <c r="H16" s="723"/>
      <c r="I16" s="452"/>
      <c r="J16" s="722">
        <f>IFERROR(J15/J$21,)</f>
        <v>1.204657740412061E-2</v>
      </c>
      <c r="K16" s="722">
        <f>IFERROR(K15/K$21,)</f>
        <v>2.0678067544904206E-2</v>
      </c>
      <c r="L16" s="723"/>
    </row>
    <row r="17" spans="1:13" s="3" customFormat="1" ht="14.4" customHeight="1">
      <c r="A17" s="1029">
        <f>INDEX('Q_SG&amp;A'!$A$2:$A$36,MATCH('SG&amp;A'!$C17,'Q_SG&amp;A'!$C$2:$C$36,0))</f>
        <v>9</v>
      </c>
      <c r="B17" s="727" t="s">
        <v>48</v>
      </c>
      <c r="C17" s="719" t="str">
        <f>VLOOKUP(B17,'Q_SG&amp;A'!$B$2:$C$36,2,0)</f>
        <v>Retirement benefits</v>
      </c>
      <c r="D17" s="720">
        <f>HLOOKUP(D$2,'Q_SG&amp;A'!$2:$36,$A17,0)/1000</f>
        <v>0.43519400000000003</v>
      </c>
      <c r="E17" s="720">
        <f>HLOOKUP(E$2,'Q_SG&amp;A'!$2:$36,$A17,0)/1000</f>
        <v>0.252</v>
      </c>
      <c r="F17" s="445">
        <f t="shared" si="1"/>
        <v>0.72696031746031764</v>
      </c>
      <c r="G17" s="720">
        <f>HLOOKUP(G$2,'Q_SG&amp;A'!$2:$36,$A17,0)/1000</f>
        <v>0.27648700000000004</v>
      </c>
      <c r="H17" s="445">
        <f t="shared" si="0"/>
        <v>0.57401252138436876</v>
      </c>
      <c r="I17" s="452"/>
      <c r="J17" s="720">
        <f>HLOOKUP(J$2,'C_SG&amp;A'!$2:$36,'SG&amp;A'!$A17,0)/1000</f>
        <v>0.71168100000000001</v>
      </c>
      <c r="K17" s="720">
        <f>HLOOKUP(K$2,'C_SG&amp;A'!$2:$36,'SG&amp;A'!$A17,0)/1000</f>
        <v>0.53100000000000003</v>
      </c>
      <c r="L17" s="445">
        <f t="shared" si="2"/>
        <v>0.34026553672316373</v>
      </c>
    </row>
    <row r="18" spans="1:13" s="350" customFormat="1" ht="14.4" customHeight="1">
      <c r="A18" s="1030"/>
      <c r="B18" s="721" t="s">
        <v>102</v>
      </c>
      <c r="C18" s="721" t="s">
        <v>89</v>
      </c>
      <c r="D18" s="722">
        <f>IFERROR(#REF!/D$21,)</f>
        <v>0</v>
      </c>
      <c r="E18" s="722">
        <f>IFERROR(#REF!/E$21,)</f>
        <v>0</v>
      </c>
      <c r="F18" s="723"/>
      <c r="G18" s="722">
        <f>IFERROR(#REF!/G$21,)</f>
        <v>0</v>
      </c>
      <c r="H18" s="723"/>
      <c r="I18" s="452"/>
      <c r="J18" s="722">
        <f>IFERROR(#REF!/J$21,)</f>
        <v>0</v>
      </c>
      <c r="K18" s="722">
        <f>IFERROR(#REF!/K$21,)</f>
        <v>0</v>
      </c>
      <c r="L18" s="723"/>
    </row>
    <row r="19" spans="1:13" s="3" customFormat="1" ht="14.4" customHeight="1">
      <c r="A19" s="1029">
        <v>10</v>
      </c>
      <c r="B19" s="727" t="s">
        <v>100</v>
      </c>
      <c r="C19" s="719" t="s">
        <v>87</v>
      </c>
      <c r="D19" s="720">
        <f>HLOOKUP(D$2,'Q_SG&amp;A'!$2:$36,$A19,0)/1000</f>
        <v>7.6160309999999996</v>
      </c>
      <c r="E19" s="720">
        <f>HLOOKUP(E$2,'Q_SG&amp;A'!$2:$36,$A19,0)/1000</f>
        <v>4.1612</v>
      </c>
      <c r="F19" s="445">
        <f t="shared" si="1"/>
        <v>0.83024872632894353</v>
      </c>
      <c r="G19" s="720">
        <f>HLOOKUP(G$2,'Q_SG&amp;A'!$2:$36,$A19,0)/1000</f>
        <v>3.9945539999999999</v>
      </c>
      <c r="H19" s="445">
        <f t="shared" si="0"/>
        <v>0.90660359078885899</v>
      </c>
      <c r="I19" s="452"/>
      <c r="J19" s="720">
        <f>HLOOKUP(J$2,'C_SG&amp;A'!$2:$36,'SG&amp;A'!$A19,0)/1000</f>
        <v>11.610584999999999</v>
      </c>
      <c r="K19" s="720">
        <f>HLOOKUP(K$2,'C_SG&amp;A'!$2:$36,'SG&amp;A'!$A19,0)/1000</f>
        <v>8.2052000000000014</v>
      </c>
      <c r="L19" s="445">
        <f t="shared" si="2"/>
        <v>0.41502766538292746</v>
      </c>
    </row>
    <row r="20" spans="1:13" s="350" customFormat="1" ht="14.4" customHeight="1" thickBot="1">
      <c r="A20" s="1030"/>
      <c r="B20" s="724" t="s">
        <v>102</v>
      </c>
      <c r="C20" s="724" t="s">
        <v>89</v>
      </c>
      <c r="D20" s="725">
        <f>IFERROR(D19/D$21,)</f>
        <v>7.2179604795526695E-2</v>
      </c>
      <c r="E20" s="725">
        <f>IFERROR(E19/E$21,)</f>
        <v>4.9963978675375817E-2</v>
      </c>
      <c r="F20" s="726"/>
      <c r="G20" s="725">
        <f>IFERROR(G19/G$21,)</f>
        <v>4.5822242615428735E-2</v>
      </c>
      <c r="H20" s="726"/>
      <c r="I20" s="452"/>
      <c r="J20" s="725">
        <f>IFERROR(J19/J$21,)</f>
        <v>6.0255254553946751E-2</v>
      </c>
      <c r="K20" s="725">
        <f>IFERROR(K19/K$21,)</f>
        <v>5.115557024133869E-2</v>
      </c>
      <c r="L20" s="726"/>
    </row>
    <row r="21" spans="1:13" s="148" customFormat="1" ht="14.4" customHeight="1">
      <c r="A21" s="1027">
        <f>INDEX(Q_IS!$A$3:$A$23,MATCH(C21,Q_IS!$C$3:$C$23,0))</f>
        <v>2</v>
      </c>
      <c r="B21" s="920" t="s">
        <v>225</v>
      </c>
      <c r="C21" s="920" t="s">
        <v>198</v>
      </c>
      <c r="D21" s="921">
        <f>HLOOKUP(D$2,Q_IS!$3:$23,$A21,0)</f>
        <v>105.515</v>
      </c>
      <c r="E21" s="921">
        <f>HLOOKUP(E$2,Q_IS!$3:$23,$A21,0)</f>
        <v>83.284000000000006</v>
      </c>
      <c r="F21" s="922"/>
      <c r="G21" s="921">
        <f>HLOOKUP(G$2,Q_IS!$3:$23,$A21,0)</f>
        <v>87.174999999999997</v>
      </c>
      <c r="H21" s="922"/>
      <c r="I21" s="922"/>
      <c r="J21" s="921">
        <f>HLOOKUP(J$2,C_IS!$3:$23,$A21,0)</f>
        <v>192.69</v>
      </c>
      <c r="K21" s="921">
        <f>HLOOKUP(K$2,C_IS!$3:$23,$A21,0)</f>
        <v>160.39699999999999</v>
      </c>
      <c r="L21" s="920" t="s">
        <v>456</v>
      </c>
      <c r="M21" s="923"/>
    </row>
  </sheetData>
  <phoneticPr fontId="3" type="noConversion"/>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A03A34-57D6-4282-8C23-0BE32A55620B}">
  <dimension ref="A1:N29"/>
  <sheetViews>
    <sheetView zoomScaleNormal="100" workbookViewId="0">
      <selection activeCell="G31" sqref="G31"/>
    </sheetView>
  </sheetViews>
  <sheetFormatPr defaultColWidth="14.796875" defaultRowHeight="13.2"/>
  <cols>
    <col min="1" max="1" width="14.796875" style="927"/>
    <col min="2" max="2" width="4.8984375" style="13" customWidth="1"/>
    <col min="3" max="3" width="10.19921875" style="13" customWidth="1"/>
    <col min="4" max="4" width="11.8984375" style="13" customWidth="1"/>
    <col min="5" max="5" width="9" style="13" customWidth="1"/>
    <col min="6" max="6" width="14.8984375" style="13" customWidth="1"/>
    <col min="7" max="7" width="23.09765625" style="13" customWidth="1"/>
    <col min="8" max="11" width="14.796875" style="13"/>
    <col min="12" max="12" width="3" style="927" customWidth="1"/>
    <col min="13" max="16384" width="14.796875" style="13"/>
  </cols>
  <sheetData>
    <row r="1" spans="1:14">
      <c r="B1" s="164" t="s">
        <v>195</v>
      </c>
      <c r="D1" s="13" t="s">
        <v>463</v>
      </c>
      <c r="H1" s="165"/>
      <c r="I1" s="165"/>
    </row>
    <row r="2" spans="1:14" s="371" customFormat="1">
      <c r="A2" s="929"/>
      <c r="B2" s="453"/>
      <c r="C2" s="457"/>
      <c r="D2" s="458"/>
      <c r="E2" s="459"/>
      <c r="F2" s="457"/>
      <c r="G2" s="458"/>
      <c r="H2" s="149">
        <v>2023</v>
      </c>
      <c r="I2" s="149">
        <v>2024</v>
      </c>
      <c r="J2" s="149">
        <v>2025</v>
      </c>
      <c r="K2" s="149" t="s">
        <v>475</v>
      </c>
      <c r="L2" s="1031"/>
      <c r="M2" s="374"/>
      <c r="N2" s="374"/>
    </row>
    <row r="3" spans="1:14" ht="13.8" thickBot="1">
      <c r="B3" s="812" t="s">
        <v>10</v>
      </c>
      <c r="C3" s="813"/>
      <c r="D3" s="814"/>
      <c r="E3" s="812" t="s">
        <v>90</v>
      </c>
      <c r="F3" s="813"/>
      <c r="G3" s="814"/>
      <c r="H3" s="822">
        <f>H4+H9</f>
        <v>375.44302176100007</v>
      </c>
      <c r="I3" s="822">
        <f t="shared" ref="I3:K3" si="0">I4+I9</f>
        <v>608.37880883100001</v>
      </c>
      <c r="J3" s="822">
        <f t="shared" si="0"/>
        <v>704.64940000000001</v>
      </c>
      <c r="K3" s="822">
        <f t="shared" si="0"/>
        <v>774.74460071299995</v>
      </c>
    </row>
    <row r="4" spans="1:14" s="371" customFormat="1" ht="14.4" thickTop="1" thickBot="1">
      <c r="A4" s="928">
        <f>INDEX(C_BS!$A$2:$A$54,MATCH(BS!$F4,C_BS!$D$2:$D$54,0))</f>
        <v>3</v>
      </c>
      <c r="B4" s="802"/>
      <c r="C4" s="803" t="s">
        <v>105</v>
      </c>
      <c r="D4" s="804"/>
      <c r="E4" s="805"/>
      <c r="F4" s="806" t="s">
        <v>13</v>
      </c>
      <c r="G4" s="807"/>
      <c r="H4" s="808">
        <f>HLOOKUP(H$2,Y_BS!$2:$51,$L4,0)/1000</f>
        <v>185.73748307700001</v>
      </c>
      <c r="I4" s="808">
        <f>HLOOKUP(I$2,Y_BS!$2:$51,$L4,0)/1000</f>
        <v>234.20182322299996</v>
      </c>
      <c r="J4" s="808">
        <f>HLOOKUP(J$2,Y_BS!$2:$51,$L4,0)/1000</f>
        <v>295.77189999999996</v>
      </c>
      <c r="K4" s="808">
        <f>HLOOKUP(K$2,C_BS!$2:$51,BS!$A4,0)/1000</f>
        <v>317.72276847699999</v>
      </c>
      <c r="L4" s="928">
        <f>INDEX(Y_BS!$A$2:$A$54,MATCH(BS!$F4,Y_BS!$D$2:$D$54,0))</f>
        <v>3</v>
      </c>
    </row>
    <row r="5" spans="1:14" ht="13.8" thickBot="1">
      <c r="A5" s="928">
        <f>INDEX(C_BS!$A$2:$A$54,MATCH(BS!$F5,C_BS!$D$2:$D$54,0))</f>
        <v>4</v>
      </c>
      <c r="B5" s="152"/>
      <c r="C5" s="358"/>
      <c r="D5" s="154" t="s">
        <v>331</v>
      </c>
      <c r="E5" s="152"/>
      <c r="F5" s="153" t="s">
        <v>333</v>
      </c>
      <c r="G5" s="154" t="s">
        <v>332</v>
      </c>
      <c r="H5" s="376">
        <f>(HLOOKUP(H$2,Y_BS!$2:$51,$L5,0)+HLOOKUP(H$2,Y_BS!$2:$51,$L5+1,0)+HLOOKUP(H$2,Y_BS!$2:$51,$L5+2,0))/1000</f>
        <v>136.85680504800001</v>
      </c>
      <c r="I5" s="376">
        <f>(HLOOKUP(I$2,Y_BS!$2:$51,$L5,0)+HLOOKUP(I$2,Y_BS!$2:$51,$L5+1,0)+HLOOKUP(I$2,Y_BS!$2:$51,$L5+2,0))/1000</f>
        <v>158.04143159599997</v>
      </c>
      <c r="J5" s="376">
        <f>(HLOOKUP(J$2,Y_BS!$2:$51,$L5,0)+HLOOKUP(J$2,Y_BS!$2:$51,$L5+1,0)+HLOOKUP(J$2,Y_BS!$2:$51,$L5+2,0))/1000</f>
        <v>207.5609</v>
      </c>
      <c r="K5" s="376">
        <f>(HLOOKUP(K$2,C_BS!$2:$51,BS!$A5,0)+HLOOKUP(K$2,C_BS!$2:$51,BS!$A5+1,0)+HLOOKUP(K$2,C_BS!$2:$51,BS!$A5+2,0))/1000</f>
        <v>136.10182324300001</v>
      </c>
      <c r="L5" s="928">
        <f>INDEX(Y_BS!$A$2:$A$54,MATCH(BS!$F5,Y_BS!$D$2:$D$54,0))</f>
        <v>4</v>
      </c>
    </row>
    <row r="6" spans="1:14" ht="13.8" thickBot="1">
      <c r="A6" s="928">
        <f>INDEX(C_BS!$A$2:$A$54,MATCH(BS!$F6,C_BS!$D$2:$D$54,0))</f>
        <v>9</v>
      </c>
      <c r="B6" s="152"/>
      <c r="C6" s="358"/>
      <c r="D6" s="156" t="s">
        <v>106</v>
      </c>
      <c r="E6" s="152"/>
      <c r="F6" s="155" t="str">
        <f>G6</f>
        <v>Inventories</v>
      </c>
      <c r="G6" s="156" t="s">
        <v>91</v>
      </c>
      <c r="H6" s="377">
        <f>HLOOKUP(H$2,Y_BS!$2:$51,$L6,0)/1000</f>
        <v>19.434327936000003</v>
      </c>
      <c r="I6" s="377">
        <f>HLOOKUP(I$2,Y_BS!$2:$51,$L6,0)/1000</f>
        <v>29.999806868</v>
      </c>
      <c r="J6" s="377">
        <f>HLOOKUP(J$2,Y_BS!$2:$51,$L6,0)/1000</f>
        <v>30.096499999999999</v>
      </c>
      <c r="K6" s="377">
        <f>HLOOKUP(K$2,C_BS!$2:$51,BS!$A6,0)/1000</f>
        <v>64.896970666000001</v>
      </c>
      <c r="L6" s="928">
        <f>INDEX(Y_BS!$A$2:$A$54,MATCH(BS!$F6,Y_BS!$D$2:$D$54,0))</f>
        <v>9</v>
      </c>
    </row>
    <row r="7" spans="1:14" ht="13.8" thickBot="1">
      <c r="A7" s="928">
        <f>INDEX(C_BS!$A$2:$A$54,MATCH(BS!$F7,C_BS!$D$2:$D$54,0))</f>
        <v>7</v>
      </c>
      <c r="B7" s="157"/>
      <c r="C7" s="359"/>
      <c r="D7" s="158" t="s">
        <v>107</v>
      </c>
      <c r="E7" s="157"/>
      <c r="F7" s="155" t="str">
        <f>G7</f>
        <v>Accounts Receivable</v>
      </c>
      <c r="G7" s="158" t="s">
        <v>321</v>
      </c>
      <c r="H7" s="378">
        <f>HLOOKUP(H$2,Y_BS!$2:$51,$L7,0)/1000</f>
        <v>17.255562999999999</v>
      </c>
      <c r="I7" s="378">
        <f>HLOOKUP(I$2,Y_BS!$2:$51,$L7,0)/1000</f>
        <v>36.937003925999996</v>
      </c>
      <c r="J7" s="378">
        <f>HLOOKUP(J$2,Y_BS!$2:$51,$L7,0)/1000</f>
        <v>48.372300000000003</v>
      </c>
      <c r="K7" s="378">
        <f>HLOOKUP(K$2,C_BS!$2:$51,BS!$A7,0)/1000</f>
        <v>98.394755957000001</v>
      </c>
      <c r="L7" s="928">
        <f>INDEX(Y_BS!$A$2:$A$54,MATCH(BS!$F7,Y_BS!$D$2:$D$54,0))</f>
        <v>7</v>
      </c>
    </row>
    <row r="8" spans="1:14" ht="13.8" thickBot="1">
      <c r="A8" s="928" t="s">
        <v>456</v>
      </c>
      <c r="B8" s="152"/>
      <c r="C8" s="358"/>
      <c r="D8" s="700" t="s">
        <v>172</v>
      </c>
      <c r="E8" s="152"/>
      <c r="F8" s="701"/>
      <c r="G8" s="700" t="s">
        <v>69</v>
      </c>
      <c r="H8" s="702">
        <f t="shared" ref="H8:K8" si="1">+H4-SUM(H5:H7)</f>
        <v>12.190787093000012</v>
      </c>
      <c r="I8" s="702">
        <f t="shared" si="1"/>
        <v>9.2235808329999998</v>
      </c>
      <c r="J8" s="702">
        <f t="shared" si="1"/>
        <v>9.7421999999999684</v>
      </c>
      <c r="K8" s="702">
        <f t="shared" si="1"/>
        <v>18.329218610999931</v>
      </c>
    </row>
    <row r="9" spans="1:14" s="371" customFormat="1" ht="15.6" customHeight="1" thickBot="1">
      <c r="A9" s="928">
        <f>INDEX(C_BS!$A$2:$A$54,MATCH(BS!$F9,C_BS!$D$2:$D$54,0))</f>
        <v>14</v>
      </c>
      <c r="B9" s="373"/>
      <c r="C9" s="360" t="s">
        <v>108</v>
      </c>
      <c r="D9" s="372"/>
      <c r="E9" s="373"/>
      <c r="F9" s="150" t="s">
        <v>19</v>
      </c>
      <c r="G9" s="151"/>
      <c r="H9" s="926">
        <f>HLOOKUP(H$2,Y_BS!$2:$51,$L9,0)/1000</f>
        <v>189.70553868400003</v>
      </c>
      <c r="I9" s="926">
        <f>HLOOKUP(I$2,Y_BS!$2:$51,$L9,0)/1000</f>
        <v>374.176985608</v>
      </c>
      <c r="J9" s="926">
        <f>HLOOKUP(J$2,Y_BS!$2:$51,$L9,0)/1000</f>
        <v>408.87750000000005</v>
      </c>
      <c r="K9" s="926">
        <f>HLOOKUP(K$2,C_BS!$2:$51,BS!$A9,0)/1000</f>
        <v>457.02183223599997</v>
      </c>
      <c r="L9" s="928">
        <f>INDEX(Y_BS!$A$2:$A$54,MATCH(BS!$F9,Y_BS!$D$2:$D$54,0))</f>
        <v>13</v>
      </c>
    </row>
    <row r="10" spans="1:14" ht="13.8" thickBot="1">
      <c r="A10" s="928">
        <f>INDEX(C_BS!$A$2:$A$54,MATCH(BS!$F10,C_BS!$D$2:$D$54,0))</f>
        <v>19</v>
      </c>
      <c r="B10" s="159"/>
      <c r="C10" s="361"/>
      <c r="D10" s="158" t="s">
        <v>126</v>
      </c>
      <c r="E10" s="159"/>
      <c r="F10" s="153" t="s">
        <v>523</v>
      </c>
      <c r="G10" s="160" t="s">
        <v>92</v>
      </c>
      <c r="H10" s="378">
        <f>HLOOKUP(H$2,Y_BS!$2:$51,$L10,0)/1000</f>
        <v>138.98871488200001</v>
      </c>
      <c r="I10" s="378">
        <f>HLOOKUP(I$2,Y_BS!$2:$51,$L10,0)/1000</f>
        <v>193.17286147299998</v>
      </c>
      <c r="J10" s="378">
        <f>HLOOKUP(J$2,Y_BS!$2:$51,$L10,0)/1000</f>
        <v>199.71610000000001</v>
      </c>
      <c r="K10" s="378">
        <f>HLOOKUP(K$2,C_BS!$2:$51,BS!$A10,0)/1000</f>
        <v>206.034648586</v>
      </c>
      <c r="L10" s="928">
        <f>INDEX(Y_BS!$A$2:$A$54,MATCH(BS!$F10,Y_BS!$D$2:$D$54,0))</f>
        <v>18</v>
      </c>
    </row>
    <row r="11" spans="1:14" ht="13.8" thickBot="1">
      <c r="A11" s="928">
        <f>INDEX(C_BS!$A$2:$A$54,MATCH(BS!$F11,C_BS!$D$2:$D$54,0))</f>
        <v>21</v>
      </c>
      <c r="B11" s="159"/>
      <c r="C11" s="361"/>
      <c r="D11" s="158" t="s">
        <v>128</v>
      </c>
      <c r="E11" s="159"/>
      <c r="F11" s="155" t="str">
        <f>G11</f>
        <v>Investment Property</v>
      </c>
      <c r="G11" s="160" t="s">
        <v>226</v>
      </c>
      <c r="H11" s="378">
        <f>HLOOKUP(H$2,Y_BS!$2:$51,$L11,0)/1000</f>
        <v>41.087737051999994</v>
      </c>
      <c r="I11" s="378">
        <f>HLOOKUP(I$2,Y_BS!$2:$51,$L11,0)/1000</f>
        <v>29.444614818999998</v>
      </c>
      <c r="J11" s="378">
        <f>HLOOKUP(J$2,Y_BS!$2:$51,$L11,0)/1000</f>
        <v>29.272400000000001</v>
      </c>
      <c r="K11" s="378">
        <f>HLOOKUP(K$2,C_BS!$2:$51,BS!$A11,0)/1000</f>
        <v>29.186314352</v>
      </c>
      <c r="L11" s="928">
        <f>INDEX(Y_BS!$A$2:$A$54,MATCH(BS!$F11,Y_BS!$D$2:$D$54,0))</f>
        <v>20</v>
      </c>
    </row>
    <row r="12" spans="1:14" ht="13.8" thickBot="1">
      <c r="A12" s="928">
        <f>INDEX(C_BS!$A$2:$A$54,MATCH(BS!$F12,C_BS!$D$2:$D$54,0))</f>
        <v>20</v>
      </c>
      <c r="B12" s="159"/>
      <c r="C12" s="361"/>
      <c r="D12" s="158" t="s">
        <v>127</v>
      </c>
      <c r="E12" s="159"/>
      <c r="F12" s="155" t="str">
        <f>G12</f>
        <v>Intangible Assets</v>
      </c>
      <c r="G12" s="160" t="s">
        <v>233</v>
      </c>
      <c r="H12" s="378">
        <f>HLOOKUP(H$2,Y_BS!$2:$51,$L12,0)/1000</f>
        <v>2.8222968580000001</v>
      </c>
      <c r="I12" s="378">
        <f>HLOOKUP(I$2,Y_BS!$2:$51,$L12,0)/1000</f>
        <v>140.947984483</v>
      </c>
      <c r="J12" s="378">
        <f>HLOOKUP(J$2,Y_BS!$2:$51,$L12,0)/1000</f>
        <v>139.63509999999999</v>
      </c>
      <c r="K12" s="378">
        <f>HLOOKUP(K$2,C_BS!$2:$51,BS!$A12,0)/1000</f>
        <v>162.62702852699999</v>
      </c>
      <c r="L12" s="928">
        <f>INDEX(Y_BS!$A$2:$A$54,MATCH(BS!$F12,Y_BS!$D$2:$D$54,0))</f>
        <v>19</v>
      </c>
    </row>
    <row r="13" spans="1:14" ht="13.8" thickBot="1">
      <c r="A13" s="927" t="s">
        <v>456</v>
      </c>
      <c r="B13" s="159"/>
      <c r="C13" s="361"/>
      <c r="D13" s="160" t="s">
        <v>172</v>
      </c>
      <c r="E13" s="159"/>
      <c r="F13" s="703"/>
      <c r="G13" s="700" t="s">
        <v>69</v>
      </c>
      <c r="H13" s="379">
        <f t="shared" ref="H13:K13" si="2">+H9-SUM(H10:H12)</f>
        <v>6.8067898920000403</v>
      </c>
      <c r="I13" s="379">
        <f t="shared" si="2"/>
        <v>10.611524832999976</v>
      </c>
      <c r="J13" s="379">
        <f t="shared" si="2"/>
        <v>40.253900000000044</v>
      </c>
      <c r="K13" s="379">
        <f t="shared" si="2"/>
        <v>59.173840770999959</v>
      </c>
    </row>
    <row r="14" spans="1:14" ht="13.8" thickBot="1">
      <c r="B14" s="815" t="s">
        <v>21</v>
      </c>
      <c r="C14" s="818"/>
      <c r="D14" s="819"/>
      <c r="E14" s="820" t="s">
        <v>93</v>
      </c>
      <c r="F14" s="821"/>
      <c r="G14" s="819"/>
      <c r="H14" s="823">
        <f>H15+H16</f>
        <v>91.942522091000001</v>
      </c>
      <c r="I14" s="823">
        <f t="shared" ref="I14:K14" si="3">I15+I16</f>
        <v>155.73489407300002</v>
      </c>
      <c r="J14" s="823">
        <f t="shared" si="3"/>
        <v>152.975437</v>
      </c>
      <c r="K14" s="823">
        <f t="shared" si="3"/>
        <v>219.64732387199999</v>
      </c>
    </row>
    <row r="15" spans="1:14" ht="13.8" thickBot="1">
      <c r="A15" s="928">
        <f>INDEX(C_BS!$A$2:$A$54,MATCH(BS!$F15,C_BS!$D$2:$D$54,0))</f>
        <v>27</v>
      </c>
      <c r="B15" s="809"/>
      <c r="C15" s="806" t="s">
        <v>109</v>
      </c>
      <c r="D15" s="810"/>
      <c r="E15" s="809"/>
      <c r="F15" s="806" t="s">
        <v>94</v>
      </c>
      <c r="G15" s="807"/>
      <c r="H15" s="811">
        <f>HLOOKUP(H$2,Y_BS!$2:$51,$L15,0)/1000</f>
        <v>29.246386637999997</v>
      </c>
      <c r="I15" s="811">
        <f>HLOOKUP(I$2,Y_BS!$2:$51,$L15,0)/1000</f>
        <v>128.90365130500001</v>
      </c>
      <c r="J15" s="811">
        <f>HLOOKUP(J$2,Y_BS!$2:$51,$L15,0)/1000</f>
        <v>80.204026999999996</v>
      </c>
      <c r="K15" s="811">
        <f>HLOOKUP(K$2,C_BS!$2:$51,BS!$A15,0)/1000</f>
        <v>198.90073546799999</v>
      </c>
      <c r="L15" s="928">
        <f>INDEX(Y_BS!$A$2:$A$54,MATCH(BS!$F15,Y_BS!$D$2:$D$54,0))</f>
        <v>25</v>
      </c>
    </row>
    <row r="16" spans="1:14" ht="13.8" thickBot="1">
      <c r="A16" s="928">
        <f>INDEX(C_BS!$A$2:$A$54,MATCH(BS!$F16,C_BS!$D$2:$D$54,0))</f>
        <v>38</v>
      </c>
      <c r="B16" s="809"/>
      <c r="C16" s="806" t="s">
        <v>110</v>
      </c>
      <c r="D16" s="810"/>
      <c r="E16" s="809"/>
      <c r="F16" s="806" t="s">
        <v>95</v>
      </c>
      <c r="G16" s="807"/>
      <c r="H16" s="811">
        <f>HLOOKUP(H$2,Y_BS!$2:$51,$L16,0)/1000</f>
        <v>62.696135452999997</v>
      </c>
      <c r="I16" s="811">
        <f>HLOOKUP(I$2,Y_BS!$2:$51,$L16,0)/1000</f>
        <v>26.831242767999999</v>
      </c>
      <c r="J16" s="811">
        <f>HLOOKUP(J$2,Y_BS!$2:$51,$L16,0)/1000</f>
        <v>72.771410000000003</v>
      </c>
      <c r="K16" s="811">
        <f>HLOOKUP(K$2,C_BS!$2:$51,BS!$A16,0)/1000</f>
        <v>20.746588403999997</v>
      </c>
      <c r="L16" s="928">
        <f>INDEX(Y_BS!$A$2:$A$54,MATCH(BS!$F16,Y_BS!$D$2:$D$54,0))</f>
        <v>36</v>
      </c>
    </row>
    <row r="17" spans="1:12" ht="13.8" thickBot="1">
      <c r="B17" s="815" t="s">
        <v>26</v>
      </c>
      <c r="C17" s="816"/>
      <c r="D17" s="817"/>
      <c r="E17" s="815" t="s">
        <v>507</v>
      </c>
      <c r="F17" s="816"/>
      <c r="G17" s="817"/>
      <c r="H17" s="824">
        <f>SUM(H18:H23)</f>
        <v>283.50049966299997</v>
      </c>
      <c r="I17" s="824">
        <f t="shared" ref="I17:K17" si="4">SUM(I18:I23)</f>
        <v>452.64391475799994</v>
      </c>
      <c r="J17" s="824">
        <f t="shared" si="4"/>
        <v>551.67424400000004</v>
      </c>
      <c r="K17" s="824">
        <f t="shared" si="4"/>
        <v>555.09731399999998</v>
      </c>
    </row>
    <row r="18" spans="1:12" ht="13.8" thickBot="1">
      <c r="A18" s="928">
        <f>INDEX(C_BS!$A$2:$A$54,MATCH(BS!$F18,C_BS!$D$2:$D$54,0))</f>
        <v>47</v>
      </c>
      <c r="B18" s="161"/>
      <c r="C18" s="162" t="s">
        <v>140</v>
      </c>
      <c r="D18" s="362"/>
      <c r="E18" s="161"/>
      <c r="F18" s="162" t="s">
        <v>255</v>
      </c>
      <c r="G18" s="163"/>
      <c r="H18" s="377">
        <f>HLOOKUP(H$2,Y_BS!$2:$51,$L18,0)/1000</f>
        <v>6.4776701999999995</v>
      </c>
      <c r="I18" s="377">
        <f>HLOOKUP(I$2,Y_BS!$2:$51,$L18,0)/1000</f>
        <v>6.6282842000000004</v>
      </c>
      <c r="J18" s="377">
        <f>HLOOKUP(J$2,Y_BS!$2:$51,$L18,0)/1000</f>
        <v>6.6283000000000003</v>
      </c>
      <c r="K18" s="377">
        <f>HLOOKUP(K$2,C_BS!$2:$54,BS!$A18,0)/1000</f>
        <v>6.6282839999999998</v>
      </c>
      <c r="L18" s="928">
        <f>INDEX(Y_BS!$A$2:$A$54,MATCH(BS!$F18,Y_BS!$D$2:$D$54,0))</f>
        <v>44</v>
      </c>
    </row>
    <row r="19" spans="1:12" ht="13.8" thickBot="1">
      <c r="A19" s="928">
        <f>INDEX(C_BS!$A$2:$A$54,MATCH(BS!$F19,C_BS!$D$2:$D$54,0))</f>
        <v>48</v>
      </c>
      <c r="B19" s="161"/>
      <c r="C19" s="162" t="s">
        <v>141</v>
      </c>
      <c r="D19" s="362"/>
      <c r="E19" s="161"/>
      <c r="F19" s="162" t="s">
        <v>254</v>
      </c>
      <c r="G19" s="163"/>
      <c r="H19" s="377">
        <f>HLOOKUP(H$2,Y_BS!$2:$51,$L19,0)/1000</f>
        <v>24.229755029</v>
      </c>
      <c r="I19" s="377">
        <f>HLOOKUP(I$2,Y_BS!$2:$51,$L19,0)/1000</f>
        <v>106.31438502899999</v>
      </c>
      <c r="J19" s="377">
        <f>HLOOKUP(J$2,Y_BS!$2:$51,$L19,0)/1000</f>
        <v>9.9425000000000008</v>
      </c>
      <c r="K19" s="377">
        <f>HLOOKUP(K$2,C_BS!$2:$54,BS!$A19,0)/1000</f>
        <v>9.9424850000000013</v>
      </c>
      <c r="L19" s="928">
        <f>INDEX(Y_BS!$A$2:$A$54,MATCH(BS!$F19,Y_BS!$D$2:$D$54,0))</f>
        <v>45</v>
      </c>
    </row>
    <row r="20" spans="1:12" ht="13.8" thickBot="1">
      <c r="A20" s="928">
        <f>INDEX(C_BS!$A$2:$A$54,MATCH(BS!$F20,C_BS!$D$2:$D$54,0))</f>
        <v>49</v>
      </c>
      <c r="B20" s="161"/>
      <c r="C20" s="162" t="s">
        <v>142</v>
      </c>
      <c r="D20" s="362"/>
      <c r="E20" s="161"/>
      <c r="F20" s="162" t="s">
        <v>210</v>
      </c>
      <c r="G20" s="163"/>
      <c r="H20" s="377">
        <f>HLOOKUP(H$2,Y_BS!$2:$51,$L20,0)/1000</f>
        <v>-18.253885540999999</v>
      </c>
      <c r="I20" s="377">
        <f>HLOOKUP(I$2,Y_BS!$2:$51,$L20,0)/1000</f>
        <v>4.8146642250000005</v>
      </c>
      <c r="J20" s="377">
        <f>HLOOKUP(J$2,Y_BS!$2:$51,$L20,0)/1000</f>
        <v>-11.307</v>
      </c>
      <c r="K20" s="377">
        <f>HLOOKUP(K$2,C_BS!$2:$54,BS!$A20,0)/1000</f>
        <v>1.6384239999999999</v>
      </c>
      <c r="L20" s="928">
        <f>INDEX(Y_BS!$A$2:$A$54,MATCH(BS!$F20,Y_BS!$D$2:$D$54,0))</f>
        <v>46</v>
      </c>
    </row>
    <row r="21" spans="1:12" ht="13.8" thickBot="1">
      <c r="A21" s="928">
        <f>INDEX(C_BS!$A$2:$A$54,MATCH(BS!$F21,C_BS!$D$2:$D$54,0))</f>
        <v>50</v>
      </c>
      <c r="B21" s="161"/>
      <c r="C21" s="162" t="s">
        <v>495</v>
      </c>
      <c r="D21" s="362"/>
      <c r="E21" s="161"/>
      <c r="F21" s="162" t="s">
        <v>492</v>
      </c>
      <c r="G21" s="163"/>
      <c r="H21" s="377">
        <f>HLOOKUP(H$2,Y_BS!$2:$51,$L21,0)/1000</f>
        <v>6.2881940999999997E-2</v>
      </c>
      <c r="I21" s="377">
        <f>HLOOKUP(I$2,Y_BS!$2:$51,$L21,0)/1000</f>
        <v>0.148007377</v>
      </c>
      <c r="J21" s="377">
        <f>HLOOKUP(J$2,Y_BS!$2:$51,$L21,0)/1000</f>
        <v>0.1764</v>
      </c>
      <c r="K21" s="377">
        <f>HLOOKUP(K$2,C_BS!$2:$54,BS!$A21,0)/1000</f>
        <v>1.0687650000000002</v>
      </c>
      <c r="L21" s="928">
        <f>INDEX(Y_BS!$A$2:$A$54,MATCH(BS!$F21,Y_BS!$D$2:$D$54,0))</f>
        <v>47</v>
      </c>
    </row>
    <row r="22" spans="1:12">
      <c r="A22" s="928">
        <f>INDEX(C_BS!$A$2:$A$54,MATCH(BS!$F22,C_BS!$D$2:$D$54,0))</f>
        <v>51</v>
      </c>
      <c r="B22" s="828"/>
      <c r="C22" s="829" t="s">
        <v>111</v>
      </c>
      <c r="D22" s="830"/>
      <c r="E22" s="828"/>
      <c r="F22" s="829" t="s">
        <v>96</v>
      </c>
      <c r="G22" s="831"/>
      <c r="H22" s="832">
        <f>HLOOKUP(H$2,Y_BS!$2:$51,$L22,0)/1000</f>
        <v>270.98407803399999</v>
      </c>
      <c r="I22" s="832">
        <f>HLOOKUP(I$2,Y_BS!$2:$51,$L22,0)/1000</f>
        <v>336.05946764099997</v>
      </c>
      <c r="J22" s="832">
        <f>HLOOKUP(J$2,Y_BS!$2:$51,$L22,0)/1000</f>
        <v>547.53344400000003</v>
      </c>
      <c r="K22" s="832">
        <f>HLOOKUP(K$2,C_BS!$2:$54,BS!$A22,0)/1000</f>
        <v>530.24969299999998</v>
      </c>
      <c r="L22" s="928">
        <f>INDEX(Y_BS!$A$2:$A$54,MATCH(BS!$F22,Y_BS!$D$2:$D$54,0))</f>
        <v>48</v>
      </c>
    </row>
    <row r="23" spans="1:12">
      <c r="A23" s="928">
        <f>INDEX(C_BS!$A$2:$A$54,MATCH(BS!$F23,C_BS!$D$2:$D$54,0))</f>
        <v>52</v>
      </c>
      <c r="B23" s="836"/>
      <c r="C23" s="361" t="s">
        <v>493</v>
      </c>
      <c r="D23" s="837"/>
      <c r="E23" s="836"/>
      <c r="F23" s="361" t="s">
        <v>494</v>
      </c>
      <c r="G23" s="838"/>
      <c r="H23" s="379">
        <f>HLOOKUP(H$2,Y_BS!$2:$51,$L23,0)/1000</f>
        <v>0</v>
      </c>
      <c r="I23" s="379">
        <f>HLOOKUP(I$2,Y_BS!$2:$51,$L23,0)/1000</f>
        <v>-1.3208937140000001</v>
      </c>
      <c r="J23" s="379">
        <f>HLOOKUP(J$2,Y_BS!$2:$51,$L23,0)/1000</f>
        <v>-1.2994000000000001</v>
      </c>
      <c r="K23" s="379">
        <f>HLOOKUP(K$2,C_BS!$2:$54,BS!$A23,0)/1000</f>
        <v>5.5696629999999994</v>
      </c>
      <c r="L23" s="928">
        <f>INDEX(Y_BS!$A$2:$A$54,MATCH(BS!$F23,Y_BS!$D$2:$D$54,0))</f>
        <v>49</v>
      </c>
    </row>
    <row r="24" spans="1:12" s="371" customFormat="1">
      <c r="A24" s="928" t="s">
        <v>456</v>
      </c>
      <c r="B24" s="833"/>
      <c r="C24" s="834"/>
      <c r="D24" s="833"/>
      <c r="E24" s="833"/>
      <c r="F24" s="834"/>
      <c r="G24" s="833"/>
      <c r="H24" s="835"/>
      <c r="I24" s="835"/>
      <c r="J24" s="835"/>
      <c r="K24" s="835"/>
      <c r="L24" s="928"/>
    </row>
    <row r="25" spans="1:12" s="371" customFormat="1">
      <c r="A25" s="928"/>
      <c r="B25" s="825"/>
      <c r="C25" s="826" t="s">
        <v>462</v>
      </c>
      <c r="D25" s="825"/>
      <c r="E25" s="825"/>
      <c r="F25" s="826" t="s">
        <v>97</v>
      </c>
      <c r="G25" s="826"/>
      <c r="H25" s="827">
        <f t="shared" ref="H25:J25" si="5">H17+H14</f>
        <v>375.44302175399997</v>
      </c>
      <c r="I25" s="827">
        <f t="shared" si="5"/>
        <v>608.37880883100001</v>
      </c>
      <c r="J25" s="827">
        <f t="shared" si="5"/>
        <v>704.6496810000001</v>
      </c>
      <c r="K25" s="827">
        <f>K17+K14</f>
        <v>774.744637872</v>
      </c>
      <c r="L25" s="928"/>
    </row>
    <row r="28" spans="1:12">
      <c r="C28" s="13" t="s">
        <v>231</v>
      </c>
      <c r="F28" s="13" t="s">
        <v>472</v>
      </c>
      <c r="H28" s="140">
        <f>H4/H15</f>
        <v>6.3507839575529044</v>
      </c>
      <c r="I28" s="140">
        <f>I4/I15</f>
        <v>1.8168750136398624</v>
      </c>
      <c r="J28" s="140">
        <f>J4/J15</f>
        <v>3.6877437588015369</v>
      </c>
      <c r="K28" s="140">
        <f>K4/K15</f>
        <v>1.5973936332081415</v>
      </c>
    </row>
    <row r="29" spans="1:12">
      <c r="C29" s="3" t="s">
        <v>232</v>
      </c>
      <c r="F29" s="3" t="s">
        <v>473</v>
      </c>
      <c r="H29" s="689">
        <f>H14/H17</f>
        <v>0.32431167564181734</v>
      </c>
      <c r="I29" s="689">
        <f>I14/I17</f>
        <v>0.34405608690500483</v>
      </c>
      <c r="J29" s="689">
        <f>J14/J17</f>
        <v>0.2772930559361042</v>
      </c>
      <c r="K29" s="689">
        <f>K14/K17</f>
        <v>0.39569156314094506</v>
      </c>
    </row>
  </sheetData>
  <phoneticPr fontId="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5216DF-D275-4CC8-9433-9C038E8D138F}">
  <sheetPr>
    <pageSetUpPr fitToPage="1"/>
  </sheetPr>
  <dimension ref="A1:U124"/>
  <sheetViews>
    <sheetView showGridLines="0" tabSelected="1" view="pageBreakPreview" zoomScaleNormal="100" zoomScaleSheetLayoutView="100" workbookViewId="0">
      <pane xSplit="3" ySplit="3" topLeftCell="D19" activePane="bottomRight" state="frozen"/>
      <selection activeCell="N45" sqref="N45"/>
      <selection pane="topRight" activeCell="N45" sqref="N45"/>
      <selection pane="bottomLeft" activeCell="N45" sqref="N45"/>
      <selection pane="bottomRight" activeCell="X23" sqref="X23"/>
    </sheetView>
  </sheetViews>
  <sheetFormatPr defaultColWidth="7.59765625" defaultRowHeight="16.2" customHeight="1"/>
  <cols>
    <col min="1" max="1" width="3.19921875" style="141" customWidth="1"/>
    <col min="2" max="2" width="18.19921875" style="93" customWidth="1"/>
    <col min="3" max="3" width="21.3984375" style="93" customWidth="1"/>
    <col min="4" max="7" width="9.19921875" style="174" customWidth="1"/>
    <col min="8" max="8" width="9.296875" style="174" customWidth="1"/>
    <col min="9" max="10" width="6.59765625" style="175" hidden="1" customWidth="1"/>
    <col min="11" max="11" width="9.296875" style="174" customWidth="1"/>
    <col min="12" max="13" width="6.59765625" style="175" customWidth="1"/>
    <col min="14" max="14" width="9.296875" style="174" hidden="1" customWidth="1"/>
    <col min="15" max="16" width="6.59765625" style="175" hidden="1" customWidth="1"/>
    <col min="17" max="17" width="9.296875" style="174" hidden="1" customWidth="1"/>
    <col min="18" max="19" width="6.59765625" style="175" hidden="1" customWidth="1"/>
    <col min="20" max="20" width="12.19921875" style="8" bestFit="1" customWidth="1"/>
    <col min="21" max="16384" width="7.59765625" style="8"/>
  </cols>
  <sheetData>
    <row r="1" spans="1:19" s="36" customFormat="1" ht="13.2">
      <c r="A1" s="142"/>
      <c r="B1" s="31" t="s">
        <v>241</v>
      </c>
      <c r="C1" s="35"/>
      <c r="D1" s="176"/>
      <c r="E1" s="176"/>
      <c r="F1" s="176"/>
      <c r="G1" s="119" t="s">
        <v>456</v>
      </c>
      <c r="I1" s="176"/>
      <c r="J1" s="176"/>
      <c r="K1" s="176"/>
      <c r="L1" s="176"/>
      <c r="M1" s="176"/>
      <c r="N1" s="176"/>
      <c r="O1" s="417"/>
      <c r="P1" s="417"/>
      <c r="Q1" s="417"/>
      <c r="R1" s="417"/>
      <c r="S1" s="417"/>
    </row>
    <row r="2" spans="1:19" ht="16.2" customHeight="1">
      <c r="B2" s="31" t="s">
        <v>114</v>
      </c>
      <c r="C2" s="32"/>
      <c r="D2" s="119" t="s">
        <v>314</v>
      </c>
      <c r="O2" s="418"/>
      <c r="P2" s="418"/>
      <c r="Q2" s="678" t="s">
        <v>456</v>
      </c>
      <c r="R2" s="418"/>
      <c r="S2" s="418"/>
    </row>
    <row r="3" spans="1:19" s="32" customFormat="1" ht="16.2" customHeight="1">
      <c r="A3" s="141">
        <v>1</v>
      </c>
      <c r="B3" s="166" t="s">
        <v>195</v>
      </c>
      <c r="C3" s="167" t="s">
        <v>399</v>
      </c>
      <c r="D3" s="177" t="s">
        <v>244</v>
      </c>
      <c r="E3" s="178" t="s">
        <v>325</v>
      </c>
      <c r="F3" s="178" t="s">
        <v>355</v>
      </c>
      <c r="G3" s="178" t="s">
        <v>453</v>
      </c>
      <c r="H3" s="179" t="s">
        <v>474</v>
      </c>
      <c r="I3" s="180" t="s">
        <v>1</v>
      </c>
      <c r="J3" s="180" t="s">
        <v>0</v>
      </c>
      <c r="K3" s="178" t="s">
        <v>475</v>
      </c>
      <c r="L3" s="180" t="s">
        <v>1</v>
      </c>
      <c r="M3" s="180" t="s">
        <v>0</v>
      </c>
      <c r="N3" s="178" t="s">
        <v>476</v>
      </c>
      <c r="O3" s="180" t="s">
        <v>1</v>
      </c>
      <c r="P3" s="180" t="s">
        <v>0</v>
      </c>
      <c r="Q3" s="178" t="s">
        <v>477</v>
      </c>
      <c r="R3" s="180" t="s">
        <v>1</v>
      </c>
      <c r="S3" s="181" t="s">
        <v>0</v>
      </c>
    </row>
    <row r="4" spans="1:19" s="41" customFormat="1" ht="16.2" customHeight="1">
      <c r="A4" s="141">
        <f>A3+1</f>
        <v>2</v>
      </c>
      <c r="B4" s="38" t="s">
        <v>171</v>
      </c>
      <c r="C4" s="728" t="s">
        <v>198</v>
      </c>
      <c r="D4" s="739">
        <v>77.113</v>
      </c>
      <c r="E4" s="750">
        <v>83.284000000000006</v>
      </c>
      <c r="F4" s="750">
        <v>82.997</v>
      </c>
      <c r="G4" s="184">
        <v>93.424999999999997</v>
      </c>
      <c r="H4" s="185">
        <v>87.174999999999997</v>
      </c>
      <c r="I4" s="186">
        <f>H4/G4-1</f>
        <v>-6.689858175006691E-2</v>
      </c>
      <c r="J4" s="187">
        <f>H4/D4-1</f>
        <v>0.13048383541037167</v>
      </c>
      <c r="K4" s="185">
        <v>105.515</v>
      </c>
      <c r="L4" s="186">
        <f>IFERROR((K4-H4)/H4,)</f>
        <v>0.21038141669056501</v>
      </c>
      <c r="M4" s="187">
        <f>IFERROR((K4-E4)/E4,)</f>
        <v>0.26693002257336335</v>
      </c>
      <c r="N4" s="185">
        <v>0</v>
      </c>
      <c r="O4" s="186">
        <f>IFERROR((N4-K4)/K4,)</f>
        <v>-1</v>
      </c>
      <c r="P4" s="187">
        <f>IFERROR((N4-F4)/F4,)</f>
        <v>-1</v>
      </c>
      <c r="Q4" s="185">
        <v>0</v>
      </c>
      <c r="R4" s="186">
        <f>IFERROR((Q4-N4)/N4,)</f>
        <v>0</v>
      </c>
      <c r="S4" s="188">
        <f>IFERROR((Q4-G4)/G4,)</f>
        <v>-1</v>
      </c>
    </row>
    <row r="5" spans="1:19" s="49" customFormat="1" ht="16.2" customHeight="1">
      <c r="A5" s="141">
        <f>A4+1</f>
        <v>3</v>
      </c>
      <c r="B5" s="44" t="s">
        <v>175</v>
      </c>
      <c r="C5" s="729" t="s">
        <v>63</v>
      </c>
      <c r="D5" s="740">
        <v>-15.785</v>
      </c>
      <c r="E5" s="751">
        <v>-19.265999999999998</v>
      </c>
      <c r="F5" s="751">
        <v>-19.273</v>
      </c>
      <c r="G5" s="191">
        <v>-21.402999999999999</v>
      </c>
      <c r="H5" s="192">
        <v>-22.126999999999999</v>
      </c>
      <c r="I5" s="193">
        <f>H5/G5-1</f>
        <v>3.3827033593421429E-2</v>
      </c>
      <c r="J5" s="194">
        <f>H5/D5-1</f>
        <v>0.40177383592017724</v>
      </c>
      <c r="K5" s="192">
        <v>-28.998000000000001</v>
      </c>
      <c r="L5" s="193">
        <f>IFERROR((K5-H5)/H5,)</f>
        <v>0.31052560220545045</v>
      </c>
      <c r="M5" s="194">
        <f>IFERROR((K5-E5)/E5,)</f>
        <v>0.5051385861102462</v>
      </c>
      <c r="N5" s="192">
        <v>0</v>
      </c>
      <c r="O5" s="193">
        <f>IFERROR((N5-K5)/K5,)</f>
        <v>-1</v>
      </c>
      <c r="P5" s="194">
        <f>IFERROR((N5-F5)/F5,)</f>
        <v>-1</v>
      </c>
      <c r="Q5" s="192">
        <v>0</v>
      </c>
      <c r="R5" s="193">
        <f>IFERROR((Q5-N5)/N5,)</f>
        <v>0</v>
      </c>
      <c r="S5" s="195">
        <f>IFERROR((Q5-G5)/G5,)</f>
        <v>-1</v>
      </c>
    </row>
    <row r="6" spans="1:19" s="49" customFormat="1" ht="16.2" customHeight="1">
      <c r="A6" s="141">
        <f t="shared" ref="A6:A23" si="0">A5+1</f>
        <v>4</v>
      </c>
      <c r="B6" s="50" t="s">
        <v>79</v>
      </c>
      <c r="C6" s="730" t="s">
        <v>112</v>
      </c>
      <c r="D6" s="741">
        <v>0.20471256467781049</v>
      </c>
      <c r="E6" s="752">
        <v>0.23132894673646795</v>
      </c>
      <c r="F6" s="752">
        <v>0.23221321252575394</v>
      </c>
      <c r="G6" s="198">
        <v>0.22909285523146908</v>
      </c>
      <c r="H6" s="199">
        <f>IFERROR(H5/(-H$4),)</f>
        <v>0.25382277028964728</v>
      </c>
      <c r="I6" s="193"/>
      <c r="J6" s="194"/>
      <c r="K6" s="199">
        <f>IFERROR(K5/(-K$4),)</f>
        <v>0.27482348481258589</v>
      </c>
      <c r="L6" s="193"/>
      <c r="M6" s="194"/>
      <c r="N6" s="199">
        <f>IFERROR(N5/(-N$4),)</f>
        <v>0</v>
      </c>
      <c r="O6" s="193"/>
      <c r="P6" s="194"/>
      <c r="Q6" s="199">
        <f>IFERROR(Q5/(-Q$4),)</f>
        <v>0</v>
      </c>
      <c r="R6" s="193"/>
      <c r="S6" s="195"/>
    </row>
    <row r="7" spans="1:19" s="14" customFormat="1" ht="16.2" customHeight="1">
      <c r="A7" s="141">
        <f t="shared" si="0"/>
        <v>5</v>
      </c>
      <c r="B7" s="52" t="s">
        <v>176</v>
      </c>
      <c r="C7" s="731" t="s">
        <v>276</v>
      </c>
      <c r="D7" s="742">
        <f>+D4+D5</f>
        <v>61.328000000000003</v>
      </c>
      <c r="E7" s="753">
        <f>+E4+E5</f>
        <v>64.018000000000001</v>
      </c>
      <c r="F7" s="753">
        <f>+F4+F5</f>
        <v>63.724000000000004</v>
      </c>
      <c r="G7" s="202">
        <f>+G4+G5</f>
        <v>72.021999999999991</v>
      </c>
      <c r="H7" s="203">
        <f>H4+H5</f>
        <v>65.048000000000002</v>
      </c>
      <c r="I7" s="186">
        <f>H7/G7-1</f>
        <v>-9.683152370109116E-2</v>
      </c>
      <c r="J7" s="187">
        <f>H7/D7-1</f>
        <v>6.0657448473780295E-2</v>
      </c>
      <c r="K7" s="203">
        <f>K4+K5</f>
        <v>76.516999999999996</v>
      </c>
      <c r="L7" s="186">
        <f>IFERROR((K7-H7)/H7,)</f>
        <v>0.1763159512975033</v>
      </c>
      <c r="M7" s="187">
        <f>IFERROR((K7-E7)/E7,)</f>
        <v>0.19524196319785053</v>
      </c>
      <c r="N7" s="203">
        <f>N4+N5</f>
        <v>0</v>
      </c>
      <c r="O7" s="186">
        <f>IFERROR((N7-K7)/K7,)</f>
        <v>-1</v>
      </c>
      <c r="P7" s="187">
        <f>IFERROR((N7-F7)/F7,)</f>
        <v>-1</v>
      </c>
      <c r="Q7" s="203">
        <f>Q4+Q5</f>
        <v>0</v>
      </c>
      <c r="R7" s="186">
        <f>IFERROR((Q7-N7)/N7,)</f>
        <v>0</v>
      </c>
      <c r="S7" s="188">
        <f>IFERROR((Q7-G7)/G7,)</f>
        <v>-1</v>
      </c>
    </row>
    <row r="8" spans="1:19" s="170" customFormat="1" ht="16.2" customHeight="1">
      <c r="A8" s="141">
        <f t="shared" si="0"/>
        <v>6</v>
      </c>
      <c r="B8" s="168" t="s">
        <v>79</v>
      </c>
      <c r="C8" s="732" t="s">
        <v>79</v>
      </c>
      <c r="D8" s="743">
        <v>0.79528743532218948</v>
      </c>
      <c r="E8" s="754">
        <v>0.76867105326353191</v>
      </c>
      <c r="F8" s="754">
        <v>0.76778678747424611</v>
      </c>
      <c r="G8" s="206">
        <v>0.77090714476853084</v>
      </c>
      <c r="H8" s="207">
        <f>H7/H$4</f>
        <v>0.74617722971035283</v>
      </c>
      <c r="I8" s="509">
        <f>H8-G8</f>
        <v>-2.4729915058178009E-2</v>
      </c>
      <c r="J8" s="510">
        <f>H8-D8</f>
        <v>-4.9110205611836655E-2</v>
      </c>
      <c r="K8" s="207">
        <f>K7/K$4</f>
        <v>0.72517651518741411</v>
      </c>
      <c r="L8" s="509"/>
      <c r="M8" s="510"/>
      <c r="N8" s="207" t="e">
        <f>N7/N$4</f>
        <v>#DIV/0!</v>
      </c>
      <c r="O8" s="206"/>
      <c r="P8" s="205"/>
      <c r="Q8" s="207" t="e">
        <f>Q7/Q$4</f>
        <v>#DIV/0!</v>
      </c>
      <c r="R8" s="206"/>
      <c r="S8" s="208"/>
    </row>
    <row r="9" spans="1:19" s="62" customFormat="1" ht="16.2" customHeight="1">
      <c r="A9" s="141">
        <f t="shared" si="0"/>
        <v>7</v>
      </c>
      <c r="B9" s="60" t="s">
        <v>177</v>
      </c>
      <c r="C9" s="733" t="s">
        <v>4</v>
      </c>
      <c r="D9" s="744">
        <v>-22.545999999999999</v>
      </c>
      <c r="E9" s="755">
        <v>-21.007000000000001</v>
      </c>
      <c r="F9" s="755">
        <v>-26.106000000000002</v>
      </c>
      <c r="G9" s="211">
        <v>-20.832000000000001</v>
      </c>
      <c r="H9" s="212">
        <v>-27.849</v>
      </c>
      <c r="I9" s="318">
        <f>H9/G9-1</f>
        <v>0.33683755760368661</v>
      </c>
      <c r="J9" s="408">
        <f>H9/D9-1</f>
        <v>0.23520801916082679</v>
      </c>
      <c r="K9" s="212">
        <v>-32.576999999999998</v>
      </c>
      <c r="L9" s="318">
        <f>IFERROR((K9-H9)/H9,)</f>
        <v>0.16977270279004625</v>
      </c>
      <c r="M9" s="408">
        <f>IFERROR((K9-E9)/E9,)</f>
        <v>0.55076879135526235</v>
      </c>
      <c r="N9" s="212">
        <v>0</v>
      </c>
      <c r="O9" s="193">
        <f>IFERROR((N9-K9)/K9,)</f>
        <v>-1</v>
      </c>
      <c r="P9" s="194">
        <f>IFERROR((N9-F9)/F9,)</f>
        <v>-1</v>
      </c>
      <c r="Q9" s="212">
        <v>0</v>
      </c>
      <c r="R9" s="193">
        <f>IFERROR((Q9-N9)/N9,)</f>
        <v>0</v>
      </c>
      <c r="S9" s="195">
        <f>IFERROR((Q9-G9)/G9,)</f>
        <v>-1</v>
      </c>
    </row>
    <row r="10" spans="1:19" s="42" customFormat="1" ht="16.2" customHeight="1">
      <c r="A10" s="470">
        <f t="shared" si="0"/>
        <v>8</v>
      </c>
      <c r="B10" s="776" t="s">
        <v>79</v>
      </c>
      <c r="C10" s="777" t="s">
        <v>112</v>
      </c>
      <c r="D10" s="778">
        <v>0.29237612335144525</v>
      </c>
      <c r="E10" s="779">
        <v>0.25223332212669902</v>
      </c>
      <c r="F10" s="779">
        <v>0.31454148945142596</v>
      </c>
      <c r="G10" s="198">
        <v>0.22298100080278299</v>
      </c>
      <c r="H10" s="780">
        <f>IFERROR(H9/(-H$4),)</f>
        <v>0.31946085460281043</v>
      </c>
      <c r="I10" s="781"/>
      <c r="J10" s="782"/>
      <c r="K10" s="780">
        <f>IFERROR(K9/(-K$4),)</f>
        <v>0.30874283277259157</v>
      </c>
      <c r="L10" s="781"/>
      <c r="M10" s="782"/>
      <c r="N10" s="780">
        <f>IFERROR(N9/(-N$4),)</f>
        <v>0</v>
      </c>
      <c r="O10" s="783"/>
      <c r="P10" s="784"/>
      <c r="Q10" s="780">
        <f>IFERROR(Q9/(-Q$4),)</f>
        <v>0</v>
      </c>
      <c r="R10" s="783"/>
      <c r="S10" s="785"/>
    </row>
    <row r="11" spans="1:19" s="41" customFormat="1" ht="16.2" customHeight="1">
      <c r="A11" s="141">
        <f t="shared" si="0"/>
        <v>9</v>
      </c>
      <c r="B11" s="38" t="s">
        <v>178</v>
      </c>
      <c r="C11" s="728" t="s">
        <v>277</v>
      </c>
      <c r="D11" s="739">
        <f>+D7+D9</f>
        <v>38.782000000000004</v>
      </c>
      <c r="E11" s="750">
        <f>+E7+E9</f>
        <v>43.010999999999996</v>
      </c>
      <c r="F11" s="750">
        <f>+F7+F9</f>
        <v>37.618000000000002</v>
      </c>
      <c r="G11" s="184">
        <f>+G7+G9</f>
        <v>51.189999999999991</v>
      </c>
      <c r="H11" s="185">
        <f>H7+H9</f>
        <v>37.198999999999998</v>
      </c>
      <c r="I11" s="186">
        <f>H11/G11-1</f>
        <v>-0.27331510060558695</v>
      </c>
      <c r="J11" s="187">
        <f>H11/D11-1</f>
        <v>-4.0817905213759054E-2</v>
      </c>
      <c r="K11" s="185">
        <f>K7+K9</f>
        <v>43.94</v>
      </c>
      <c r="L11" s="186">
        <f>IFERROR((K11-H11)/H11,)</f>
        <v>0.18121454877819296</v>
      </c>
      <c r="M11" s="187">
        <f>IFERROR((K11-E11)/E11,)</f>
        <v>2.1599125805026671E-2</v>
      </c>
      <c r="N11" s="185">
        <f>N7+N9</f>
        <v>0</v>
      </c>
      <c r="O11" s="186">
        <f>IFERROR((N11-K11)/K11,)</f>
        <v>-1</v>
      </c>
      <c r="P11" s="187">
        <f>IFERROR((N11-F11)/F11,)</f>
        <v>-1</v>
      </c>
      <c r="Q11" s="185">
        <f>Q7+Q9</f>
        <v>0</v>
      </c>
      <c r="R11" s="186">
        <f>IFERROR((Q11-N11)/N11,)</f>
        <v>0</v>
      </c>
      <c r="S11" s="188">
        <f>IFERROR((Q11-G11)/G11,)</f>
        <v>-1</v>
      </c>
    </row>
    <row r="12" spans="1:19" s="171" customFormat="1" ht="16.2" customHeight="1">
      <c r="A12" s="141">
        <f t="shared" si="0"/>
        <v>10</v>
      </c>
      <c r="B12" s="168" t="s">
        <v>79</v>
      </c>
      <c r="C12" s="732" t="s">
        <v>79</v>
      </c>
      <c r="D12" s="743">
        <v>0.50291131197074423</v>
      </c>
      <c r="E12" s="754">
        <v>0.51643773113683289</v>
      </c>
      <c r="F12" s="754">
        <v>0.45324529802282015</v>
      </c>
      <c r="G12" s="206">
        <v>0.54792614396574779</v>
      </c>
      <c r="H12" s="207">
        <f>H11/H$4</f>
        <v>0.42671637510754229</v>
      </c>
      <c r="I12" s="206"/>
      <c r="J12" s="205"/>
      <c r="K12" s="207">
        <f>K11/K$4</f>
        <v>0.41643368241482254</v>
      </c>
      <c r="L12" s="206"/>
      <c r="M12" s="205"/>
      <c r="N12" s="207" t="e">
        <f>N11/N$4</f>
        <v>#DIV/0!</v>
      </c>
      <c r="O12" s="206"/>
      <c r="P12" s="205"/>
      <c r="Q12" s="207" t="e">
        <f>Q11/Q$4</f>
        <v>#DIV/0!</v>
      </c>
      <c r="R12" s="206"/>
      <c r="S12" s="208"/>
    </row>
    <row r="13" spans="1:19" s="129" customFormat="1" ht="16.2" customHeight="1">
      <c r="A13" s="141">
        <f t="shared" si="0"/>
        <v>11</v>
      </c>
      <c r="B13" s="381" t="s">
        <v>179</v>
      </c>
      <c r="C13" s="734" t="s">
        <v>59</v>
      </c>
      <c r="D13" s="745">
        <v>2.1360000000000001</v>
      </c>
      <c r="E13" s="756">
        <v>1.0189999999999999</v>
      </c>
      <c r="F13" s="756">
        <v>2.2457050000000001</v>
      </c>
      <c r="G13" s="410">
        <v>4.67</v>
      </c>
      <c r="H13" s="407">
        <v>10.218999999999999</v>
      </c>
      <c r="I13" s="318">
        <f t="shared" ref="I13:I19" si="1">H13/G13-1</f>
        <v>1.188222698072805</v>
      </c>
      <c r="J13" s="408">
        <f t="shared" ref="J13:J19" si="2">H13/D13-1</f>
        <v>3.7841760299625467</v>
      </c>
      <c r="K13" s="407">
        <v>5.351</v>
      </c>
      <c r="L13" s="318">
        <f t="shared" ref="L13:L19" si="3">IFERROR((K13-H13)/H13,)</f>
        <v>-0.47636755064096287</v>
      </c>
      <c r="M13" s="408">
        <f>IFERROR((K13-E13)/E13,)</f>
        <v>4.2512266928361138</v>
      </c>
      <c r="N13" s="407">
        <v>0</v>
      </c>
      <c r="O13" s="318">
        <f t="shared" ref="O13:O19" si="4">IFERROR((N13-K13)/K13,)</f>
        <v>-1</v>
      </c>
      <c r="P13" s="408">
        <f>IFERROR((N13-F13)/F13,)</f>
        <v>-1</v>
      </c>
      <c r="Q13" s="407">
        <v>0</v>
      </c>
      <c r="R13" s="318">
        <f t="shared" ref="R13:R19" si="5">IFERROR((Q13-N13)/N13,)</f>
        <v>0</v>
      </c>
      <c r="S13" s="409">
        <f>IFERROR((Q13-G13)/G13,)</f>
        <v>-1</v>
      </c>
    </row>
    <row r="14" spans="1:19" s="129" customFormat="1" ht="16.2" customHeight="1">
      <c r="A14" s="141">
        <f t="shared" si="0"/>
        <v>12</v>
      </c>
      <c r="B14" s="381" t="s">
        <v>181</v>
      </c>
      <c r="C14" s="734" t="s">
        <v>60</v>
      </c>
      <c r="D14" s="745">
        <v>-1.411</v>
      </c>
      <c r="E14" s="757">
        <v>-11.505000000000001</v>
      </c>
      <c r="F14" s="757">
        <v>2.974005</v>
      </c>
      <c r="G14" s="410">
        <v>-0.92900000000000005</v>
      </c>
      <c r="H14" s="407">
        <v>-2.4239999999999999</v>
      </c>
      <c r="I14" s="318">
        <f t="shared" si="1"/>
        <v>1.6092572658772872</v>
      </c>
      <c r="J14" s="408">
        <f t="shared" si="2"/>
        <v>0.71793054571226067</v>
      </c>
      <c r="K14" s="407">
        <v>-12.005000000000001</v>
      </c>
      <c r="L14" s="318">
        <f t="shared" si="3"/>
        <v>3.9525577557755782</v>
      </c>
      <c r="M14" s="408">
        <f t="shared" ref="M14:M19" si="6">IFERROR((K14-E14)/E14,)</f>
        <v>4.3459365493263798E-2</v>
      </c>
      <c r="N14" s="407">
        <v>0</v>
      </c>
      <c r="O14" s="318">
        <f t="shared" si="4"/>
        <v>-1</v>
      </c>
      <c r="P14" s="408">
        <f t="shared" ref="P14:P19" si="7">IFERROR((N14-F14)/F14,)</f>
        <v>-1</v>
      </c>
      <c r="Q14" s="407">
        <v>0</v>
      </c>
      <c r="R14" s="318">
        <f t="shared" si="5"/>
        <v>0</v>
      </c>
      <c r="S14" s="409">
        <f t="shared" ref="S14:S19" si="8">IFERROR((Q14-G14)/G14,)</f>
        <v>-1</v>
      </c>
    </row>
    <row r="15" spans="1:19" s="129" customFormat="1" ht="16.2" customHeight="1">
      <c r="A15" s="141">
        <f t="shared" si="0"/>
        <v>13</v>
      </c>
      <c r="B15" s="381" t="s">
        <v>183</v>
      </c>
      <c r="C15" s="734" t="s">
        <v>61</v>
      </c>
      <c r="D15" s="745">
        <v>4.4999999999999998E-2</v>
      </c>
      <c r="E15" s="756">
        <v>3.5999999999999997E-2</v>
      </c>
      <c r="F15" s="756">
        <v>5.4086000000000002E-2</v>
      </c>
      <c r="G15" s="410">
        <v>0.254</v>
      </c>
      <c r="H15" s="407">
        <v>0.51400000000000001</v>
      </c>
      <c r="I15" s="318">
        <f t="shared" si="1"/>
        <v>1.0236220472440944</v>
      </c>
      <c r="J15" s="408">
        <f t="shared" si="2"/>
        <v>10.422222222222222</v>
      </c>
      <c r="K15" s="407">
        <v>-0.183</v>
      </c>
      <c r="L15" s="318">
        <f t="shared" si="3"/>
        <v>-1.3560311284046693</v>
      </c>
      <c r="M15" s="408">
        <f t="shared" si="6"/>
        <v>-6.0833333333333339</v>
      </c>
      <c r="N15" s="407">
        <v>0</v>
      </c>
      <c r="O15" s="318">
        <f t="shared" si="4"/>
        <v>-1</v>
      </c>
      <c r="P15" s="408">
        <f t="shared" si="7"/>
        <v>-1</v>
      </c>
      <c r="Q15" s="407">
        <v>0</v>
      </c>
      <c r="R15" s="318">
        <f t="shared" si="5"/>
        <v>0</v>
      </c>
      <c r="S15" s="409">
        <f t="shared" si="8"/>
        <v>-1</v>
      </c>
    </row>
    <row r="16" spans="1:19" s="129" customFormat="1" ht="16.2" customHeight="1">
      <c r="A16" s="141">
        <f t="shared" si="0"/>
        <v>14</v>
      </c>
      <c r="B16" s="381" t="s">
        <v>185</v>
      </c>
      <c r="C16" s="734" t="s">
        <v>62</v>
      </c>
      <c r="D16" s="745">
        <v>-2E-3</v>
      </c>
      <c r="E16" s="757">
        <v>-0.65</v>
      </c>
      <c r="F16" s="757">
        <v>-4.9849999999999998E-2</v>
      </c>
      <c r="G16" s="410">
        <v>-0.85499999999999998</v>
      </c>
      <c r="H16" s="407">
        <v>-0.66100000000000003</v>
      </c>
      <c r="I16" s="318">
        <f t="shared" si="1"/>
        <v>-0.2269005847953216</v>
      </c>
      <c r="J16" s="408">
        <f t="shared" si="2"/>
        <v>329.5</v>
      </c>
      <c r="K16" s="407">
        <v>-0.46</v>
      </c>
      <c r="L16" s="318">
        <f t="shared" si="3"/>
        <v>-0.30408472012102877</v>
      </c>
      <c r="M16" s="408">
        <f t="shared" si="6"/>
        <v>-0.29230769230769232</v>
      </c>
      <c r="N16" s="407">
        <v>0</v>
      </c>
      <c r="O16" s="318">
        <f t="shared" si="4"/>
        <v>-1</v>
      </c>
      <c r="P16" s="408">
        <f t="shared" si="7"/>
        <v>-1</v>
      </c>
      <c r="Q16" s="407">
        <v>0</v>
      </c>
      <c r="R16" s="318">
        <f t="shared" si="5"/>
        <v>0</v>
      </c>
      <c r="S16" s="409">
        <f t="shared" si="8"/>
        <v>-1</v>
      </c>
    </row>
    <row r="17" spans="1:21" s="41" customFormat="1" ht="16.2" customHeight="1">
      <c r="A17" s="141">
        <f t="shared" si="0"/>
        <v>15</v>
      </c>
      <c r="B17" s="704" t="s">
        <v>229</v>
      </c>
      <c r="C17" s="735" t="s">
        <v>446</v>
      </c>
      <c r="D17" s="739">
        <f>+D11+SUM(D13:D16)</f>
        <v>39.550000000000004</v>
      </c>
      <c r="E17" s="750">
        <f>+E11+SUM(E13:E16)</f>
        <v>31.910999999999994</v>
      </c>
      <c r="F17" s="750">
        <f>+F11+SUM(F13:F16)</f>
        <v>42.841946</v>
      </c>
      <c r="G17" s="184">
        <f>+G11+SUM(G13:G16)</f>
        <v>54.329999999999991</v>
      </c>
      <c r="H17" s="185">
        <f>H11+H13+H14+H15+H16</f>
        <v>44.847000000000001</v>
      </c>
      <c r="I17" s="186">
        <f t="shared" si="1"/>
        <v>-0.17454445057979007</v>
      </c>
      <c r="J17" s="187">
        <f t="shared" si="2"/>
        <v>0.13393173198482922</v>
      </c>
      <c r="K17" s="185">
        <f>K11+K13+K14+K15+K16</f>
        <v>36.642999999999994</v>
      </c>
      <c r="L17" s="186">
        <f t="shared" si="3"/>
        <v>-0.18293308359533542</v>
      </c>
      <c r="M17" s="187">
        <f t="shared" si="6"/>
        <v>0.14828742439911002</v>
      </c>
      <c r="N17" s="185">
        <f>N11+N13+N14+N15+N16</f>
        <v>0</v>
      </c>
      <c r="O17" s="186">
        <f t="shared" si="4"/>
        <v>-1</v>
      </c>
      <c r="P17" s="187">
        <f t="shared" si="7"/>
        <v>-1</v>
      </c>
      <c r="Q17" s="185">
        <f>Q11+Q13+Q14+Q15+Q16</f>
        <v>0</v>
      </c>
      <c r="R17" s="186">
        <f t="shared" si="5"/>
        <v>0</v>
      </c>
      <c r="S17" s="188">
        <f t="shared" si="8"/>
        <v>-1</v>
      </c>
    </row>
    <row r="18" spans="1:21" s="395" customFormat="1" ht="13.2">
      <c r="A18" s="141">
        <f t="shared" si="0"/>
        <v>16</v>
      </c>
      <c r="B18" s="386" t="s">
        <v>187</v>
      </c>
      <c r="C18" s="736" t="s">
        <v>239</v>
      </c>
      <c r="D18" s="746">
        <v>-9.8260000000000005</v>
      </c>
      <c r="E18" s="758">
        <v>-5.438999999999993</v>
      </c>
      <c r="F18" s="758">
        <v>-9.7339460000000031</v>
      </c>
      <c r="G18" s="390">
        <v>-11.725</v>
      </c>
      <c r="H18" s="391">
        <v>-11.691000000000001</v>
      </c>
      <c r="I18" s="392">
        <f t="shared" si="1"/>
        <v>-2.8997867803837174E-3</v>
      </c>
      <c r="J18" s="393">
        <f t="shared" si="2"/>
        <v>0.18980256462446565</v>
      </c>
      <c r="K18" s="391">
        <v>-11.122999999999999</v>
      </c>
      <c r="L18" s="392">
        <f t="shared" si="3"/>
        <v>-4.8584381147891653E-2</v>
      </c>
      <c r="M18" s="393">
        <f t="shared" si="6"/>
        <v>1.0450450450450475</v>
      </c>
      <c r="N18" s="391">
        <f>N19-N17</f>
        <v>0</v>
      </c>
      <c r="O18" s="213">
        <f t="shared" si="4"/>
        <v>-1</v>
      </c>
      <c r="P18" s="393">
        <f t="shared" si="7"/>
        <v>-1</v>
      </c>
      <c r="Q18" s="391">
        <f>Q19-Q17</f>
        <v>0</v>
      </c>
      <c r="R18" s="392">
        <f t="shared" si="5"/>
        <v>0</v>
      </c>
      <c r="S18" s="394">
        <f t="shared" si="8"/>
        <v>-1</v>
      </c>
    </row>
    <row r="19" spans="1:21" s="14" customFormat="1" ht="16.2" customHeight="1">
      <c r="A19" s="141">
        <f t="shared" si="0"/>
        <v>17</v>
      </c>
      <c r="B19" s="52" t="s">
        <v>318</v>
      </c>
      <c r="C19" s="731" t="s">
        <v>320</v>
      </c>
      <c r="D19" s="747">
        <v>29.815999999999999</v>
      </c>
      <c r="E19" s="753">
        <v>26.471</v>
      </c>
      <c r="F19" s="753">
        <v>33.008000000000003</v>
      </c>
      <c r="G19" s="202">
        <v>42.640999999999998</v>
      </c>
      <c r="H19" s="221">
        <v>33.616</v>
      </c>
      <c r="I19" s="186">
        <f t="shared" si="1"/>
        <v>-0.21165075865950611</v>
      </c>
      <c r="J19" s="187">
        <f t="shared" si="2"/>
        <v>0.12744834987925957</v>
      </c>
      <c r="K19" s="221">
        <v>28.366</v>
      </c>
      <c r="L19" s="186">
        <f t="shared" si="3"/>
        <v>-0.15617563065207044</v>
      </c>
      <c r="M19" s="187">
        <f t="shared" si="6"/>
        <v>7.1587775301273068E-2</v>
      </c>
      <c r="N19" s="221">
        <v>0</v>
      </c>
      <c r="O19" s="186">
        <f t="shared" si="4"/>
        <v>-1</v>
      </c>
      <c r="P19" s="187">
        <f t="shared" si="7"/>
        <v>-1</v>
      </c>
      <c r="Q19" s="221">
        <v>0</v>
      </c>
      <c r="R19" s="186">
        <f t="shared" si="5"/>
        <v>0</v>
      </c>
      <c r="S19" s="188">
        <f t="shared" si="8"/>
        <v>-1</v>
      </c>
      <c r="T19" s="909"/>
    </row>
    <row r="20" spans="1:21" s="170" customFormat="1" ht="16.2" customHeight="1">
      <c r="A20" s="141">
        <f t="shared" si="0"/>
        <v>18</v>
      </c>
      <c r="B20" s="168" t="s">
        <v>79</v>
      </c>
      <c r="C20" s="732" t="s">
        <v>79</v>
      </c>
      <c r="D20" s="743">
        <v>0.38544733054089453</v>
      </c>
      <c r="E20" s="754">
        <v>0.31785216848374237</v>
      </c>
      <c r="F20" s="754">
        <v>0.39890598455365855</v>
      </c>
      <c r="G20" s="206">
        <v>0.455980733208456</v>
      </c>
      <c r="H20" s="207">
        <f>H19/H$4</f>
        <v>0.38561514195583596</v>
      </c>
      <c r="I20" s="206"/>
      <c r="J20" s="205"/>
      <c r="K20" s="207">
        <f>K19/K$4</f>
        <v>0.26883381509737952</v>
      </c>
      <c r="L20" s="206"/>
      <c r="M20" s="205"/>
      <c r="N20" s="207" t="e">
        <f>N19/N$4</f>
        <v>#DIV/0!</v>
      </c>
      <c r="O20" s="206"/>
      <c r="P20" s="205"/>
      <c r="Q20" s="207" t="e">
        <f>Q19/Q$4</f>
        <v>#DIV/0!</v>
      </c>
      <c r="R20" s="206"/>
      <c r="S20" s="208"/>
      <c r="T20" s="910"/>
    </row>
    <row r="21" spans="1:21" s="65" customFormat="1" ht="16.2" customHeight="1">
      <c r="A21" s="141">
        <f t="shared" si="0"/>
        <v>19</v>
      </c>
      <c r="B21" s="63" t="s">
        <v>51</v>
      </c>
      <c r="C21" s="737" t="s">
        <v>5</v>
      </c>
      <c r="D21" s="748">
        <v>3.5550000000000002</v>
      </c>
      <c r="E21" s="759">
        <v>3.6440000000000001</v>
      </c>
      <c r="F21" s="759">
        <v>3.718</v>
      </c>
      <c r="G21" s="224">
        <v>3.6909999999999998</v>
      </c>
      <c r="H21" s="225">
        <v>3.847</v>
      </c>
      <c r="I21" s="226">
        <f>H21/G21-1</f>
        <v>4.2264968843132023E-2</v>
      </c>
      <c r="J21" s="227">
        <f>H21/D21-1</f>
        <v>8.2137834036568158E-2</v>
      </c>
      <c r="K21" s="225">
        <v>4.149</v>
      </c>
      <c r="L21" s="226">
        <f>IFERROR((K21-H21)/H21,)</f>
        <v>7.8502729399532109E-2</v>
      </c>
      <c r="M21" s="227">
        <f>IFERROR((K21-E21)/E21,)</f>
        <v>0.13858397365532379</v>
      </c>
      <c r="N21" s="225">
        <v>0</v>
      </c>
      <c r="O21" s="226">
        <f>IFERROR((N21-K21)/K21,)</f>
        <v>-1</v>
      </c>
      <c r="P21" s="227">
        <f>IFERROR((N21-F21)/F21,)</f>
        <v>-1</v>
      </c>
      <c r="Q21" s="225">
        <v>0</v>
      </c>
      <c r="R21" s="217">
        <f>IFERROR((Q21-N21)/N21,)</f>
        <v>0</v>
      </c>
      <c r="S21" s="218">
        <f>IFERROR((Q21-G21)/G21,)</f>
        <v>-1</v>
      </c>
      <c r="T21" s="911"/>
    </row>
    <row r="22" spans="1:21" s="41" customFormat="1" ht="16.2" customHeight="1">
      <c r="A22" s="141">
        <f t="shared" si="0"/>
        <v>20</v>
      </c>
      <c r="B22" s="38" t="s">
        <v>6</v>
      </c>
      <c r="C22" s="728" t="s">
        <v>6</v>
      </c>
      <c r="D22" s="739">
        <f>+D11+D21</f>
        <v>42.337000000000003</v>
      </c>
      <c r="E22" s="750">
        <f>+E11+E21</f>
        <v>46.654999999999994</v>
      </c>
      <c r="F22" s="750">
        <f>+F11+F21</f>
        <v>41.335999999999999</v>
      </c>
      <c r="G22" s="184">
        <f>+G11+G21</f>
        <v>54.880999999999993</v>
      </c>
      <c r="H22" s="185">
        <f>+H11+H21</f>
        <v>41.045999999999999</v>
      </c>
      <c r="I22" s="186">
        <f>H22/G22-1</f>
        <v>-0.25209088755671349</v>
      </c>
      <c r="J22" s="187">
        <f>H22/D22-1</f>
        <v>-3.0493421829605349E-2</v>
      </c>
      <c r="K22" s="185">
        <f>K21+K11</f>
        <v>48.088999999999999</v>
      </c>
      <c r="L22" s="186">
        <f>IFERROR((K22-H22)/H22,)</f>
        <v>0.17158797446767041</v>
      </c>
      <c r="M22" s="187">
        <f>IFERROR((K22-E22)/E22,)</f>
        <v>3.0736255492444641E-2</v>
      </c>
      <c r="N22" s="185">
        <f>N21+N11</f>
        <v>0</v>
      </c>
      <c r="O22" s="186">
        <f>IFERROR((N22-K22)/K22,)</f>
        <v>-1</v>
      </c>
      <c r="P22" s="187">
        <f>IFERROR((N22-F22)/F22,)</f>
        <v>-1</v>
      </c>
      <c r="Q22" s="185">
        <f>Q21+Q11</f>
        <v>0</v>
      </c>
      <c r="R22" s="186">
        <f>IFERROR((Q22-N22)/N22,)</f>
        <v>0</v>
      </c>
      <c r="S22" s="188">
        <f>IFERROR((Q22-G22)/G22,)</f>
        <v>-1</v>
      </c>
      <c r="T22" s="911"/>
    </row>
    <row r="23" spans="1:21" s="171" customFormat="1" ht="16.2" customHeight="1" thickBot="1">
      <c r="A23" s="141">
        <f t="shared" si="0"/>
        <v>21</v>
      </c>
      <c r="B23" s="172" t="s">
        <v>79</v>
      </c>
      <c r="C23" s="738" t="s">
        <v>112</v>
      </c>
      <c r="D23" s="749">
        <v>0.54901248816671633</v>
      </c>
      <c r="E23" s="760">
        <v>0.56019163344700051</v>
      </c>
      <c r="F23" s="760">
        <v>0.49804209790715326</v>
      </c>
      <c r="G23" s="231">
        <v>0.58743377040406741</v>
      </c>
      <c r="H23" s="230">
        <f>H22/H$4</f>
        <v>0.47084599942644106</v>
      </c>
      <c r="I23" s="231"/>
      <c r="J23" s="232"/>
      <c r="K23" s="230">
        <f>K22/K$4</f>
        <v>0.45575510590911245</v>
      </c>
      <c r="L23" s="231"/>
      <c r="M23" s="232"/>
      <c r="N23" s="230" t="e">
        <f>N22/N$4</f>
        <v>#DIV/0!</v>
      </c>
      <c r="O23" s="231"/>
      <c r="P23" s="232"/>
      <c r="Q23" s="230" t="e">
        <f>Q22/Q$4</f>
        <v>#DIV/0!</v>
      </c>
      <c r="R23" s="231"/>
      <c r="S23" s="233"/>
      <c r="T23" s="911"/>
    </row>
    <row r="24" spans="1:21" s="65" customFormat="1" ht="14.4" customHeight="1">
      <c r="A24" s="143"/>
      <c r="B24" s="66"/>
      <c r="C24" s="529" t="s">
        <v>406</v>
      </c>
      <c r="D24" s="224"/>
      <c r="E24" s="224"/>
      <c r="F24" s="224"/>
      <c r="G24" s="224"/>
      <c r="H24" s="224"/>
      <c r="I24" s="234"/>
      <c r="J24" s="234"/>
      <c r="K24" s="224"/>
      <c r="L24" s="234"/>
      <c r="M24" s="234"/>
      <c r="N24" s="224"/>
      <c r="O24" s="234"/>
      <c r="P24" s="234"/>
      <c r="Q24" s="224"/>
      <c r="R24" s="234"/>
      <c r="S24" s="234"/>
      <c r="T24" s="911"/>
    </row>
    <row r="25" spans="1:21" s="36" customFormat="1" ht="13.8" thickBot="1">
      <c r="A25" s="142"/>
      <c r="B25" s="34" t="s">
        <v>115</v>
      </c>
      <c r="C25" s="35"/>
      <c r="D25" s="176"/>
      <c r="E25" s="176"/>
      <c r="F25" s="176"/>
      <c r="G25" s="176"/>
      <c r="H25" s="176"/>
      <c r="I25" s="176"/>
      <c r="J25" s="176"/>
      <c r="K25" s="176"/>
      <c r="L25" s="176"/>
      <c r="M25" s="176"/>
      <c r="N25" s="176"/>
      <c r="O25" s="176"/>
      <c r="P25" s="176"/>
      <c r="Q25" s="176"/>
      <c r="R25" s="176"/>
      <c r="S25" s="176"/>
      <c r="T25" s="912"/>
    </row>
    <row r="26" spans="1:21" s="32" customFormat="1" ht="16.2" customHeight="1" thickBot="1">
      <c r="A26" s="141">
        <v>1</v>
      </c>
      <c r="B26" s="166" t="s">
        <v>195</v>
      </c>
      <c r="C26" s="167" t="s">
        <v>399</v>
      </c>
      <c r="D26" s="235" t="str">
        <f t="shared" ref="D26:S26" si="9">D3</f>
        <v>1Q25</v>
      </c>
      <c r="E26" s="236" t="str">
        <f t="shared" si="9"/>
        <v>2Q25</v>
      </c>
      <c r="F26" s="236" t="str">
        <f t="shared" si="9"/>
        <v>3Q25</v>
      </c>
      <c r="G26" s="236" t="str">
        <f t="shared" si="9"/>
        <v>4Q25</v>
      </c>
      <c r="H26" s="237" t="str">
        <f t="shared" si="9"/>
        <v>1Q26</v>
      </c>
      <c r="I26" s="238" t="str">
        <f t="shared" si="9"/>
        <v>QoQ</v>
      </c>
      <c r="J26" s="238" t="str">
        <f t="shared" si="9"/>
        <v>YoY</v>
      </c>
      <c r="K26" s="237" t="str">
        <f t="shared" si="9"/>
        <v>2Q26</v>
      </c>
      <c r="L26" s="238" t="str">
        <f t="shared" si="9"/>
        <v>QoQ</v>
      </c>
      <c r="M26" s="238" t="str">
        <f t="shared" si="9"/>
        <v>YoY</v>
      </c>
      <c r="N26" s="237" t="str">
        <f t="shared" si="9"/>
        <v>3Q26</v>
      </c>
      <c r="O26" s="238" t="str">
        <f t="shared" si="9"/>
        <v>QoQ</v>
      </c>
      <c r="P26" s="238" t="str">
        <f t="shared" si="9"/>
        <v>YoY</v>
      </c>
      <c r="Q26" s="237" t="str">
        <f t="shared" si="9"/>
        <v>4Q26</v>
      </c>
      <c r="R26" s="238" t="str">
        <f t="shared" si="9"/>
        <v>QoQ</v>
      </c>
      <c r="S26" s="240" t="str">
        <f t="shared" si="9"/>
        <v>YoY</v>
      </c>
      <c r="T26" s="913"/>
    </row>
    <row r="27" spans="1:21" ht="16.2" customHeight="1" thickBot="1">
      <c r="B27" s="766" t="s">
        <v>502</v>
      </c>
      <c r="C27" s="767" t="s">
        <v>503</v>
      </c>
      <c r="D27" s="769">
        <f>+D38+D41</f>
        <v>77.113</v>
      </c>
      <c r="E27" s="770">
        <f>+E38+E41</f>
        <v>83.283999999999992</v>
      </c>
      <c r="F27" s="771">
        <f>+F38+F41</f>
        <v>83.001000000000005</v>
      </c>
      <c r="G27" s="771">
        <f>+G38+G41</f>
        <v>93.424999999999997</v>
      </c>
      <c r="H27" s="765">
        <f>+H38+H41</f>
        <v>87.172999999999988</v>
      </c>
      <c r="I27" s="764">
        <f t="shared" ref="I27" si="10">H27/G27-1</f>
        <v>-6.6919989296227E-2</v>
      </c>
      <c r="J27" s="764">
        <f t="shared" ref="J27" si="11">H27/D27-1</f>
        <v>0.13045789944626707</v>
      </c>
      <c r="K27" s="765">
        <f>+K38+K41</f>
        <v>105.51600000000001</v>
      </c>
      <c r="L27" s="764">
        <f>K27/H27-1</f>
        <v>0.21042065777247565</v>
      </c>
      <c r="M27" s="764">
        <f>K27/E27-1</f>
        <v>0.26694202968157166</v>
      </c>
      <c r="N27" s="259"/>
      <c r="O27" s="258"/>
      <c r="P27" s="258"/>
      <c r="Q27" s="259"/>
      <c r="R27" s="258"/>
      <c r="S27" s="260"/>
      <c r="T27" s="914"/>
    </row>
    <row r="28" spans="1:21" s="14" customFormat="1" ht="16.2" customHeight="1">
      <c r="A28" s="141">
        <f>A26+1</f>
        <v>2</v>
      </c>
      <c r="B28" s="67" t="s">
        <v>290</v>
      </c>
      <c r="C28" s="67" t="s">
        <v>291</v>
      </c>
      <c r="D28" s="72">
        <f>D29+D30</f>
        <v>35.067</v>
      </c>
      <c r="E28" s="73">
        <f>E29+E30</f>
        <v>45.49</v>
      </c>
      <c r="F28" s="73">
        <f>F29+F30</f>
        <v>42.947000000000003</v>
      </c>
      <c r="G28" s="73">
        <f>G29+G30</f>
        <v>50.466000000000001</v>
      </c>
      <c r="H28" s="72">
        <f>H29+H30</f>
        <v>42.161999999999999</v>
      </c>
      <c r="I28" s="241">
        <f t="shared" ref="I28:I40" si="12">H28/G28-1</f>
        <v>-0.16454642729758651</v>
      </c>
      <c r="J28" s="242">
        <f t="shared" ref="J28:J40" si="13">H28/D28-1</f>
        <v>0.20232697407819322</v>
      </c>
      <c r="K28" s="72">
        <f>K29+K30</f>
        <v>49.222000000000001</v>
      </c>
      <c r="L28" s="241">
        <f t="shared" ref="L28:L40" si="14">IFERROR((K28-H28)/H28,)</f>
        <v>0.16744936198472565</v>
      </c>
      <c r="M28" s="242">
        <f t="shared" ref="M28:M40" si="15">IFERROR((K28-E28)/E28,)</f>
        <v>8.2040008793141328E-2</v>
      </c>
      <c r="N28" s="72">
        <f>N29+N30</f>
        <v>0</v>
      </c>
      <c r="O28" s="241">
        <f t="shared" ref="O28:O40" si="16">IFERROR((N28-K28)/K28,)</f>
        <v>-1</v>
      </c>
      <c r="P28" s="242">
        <f t="shared" ref="P28:P40" si="17">IFERROR((N28-F28)/F28,)</f>
        <v>-1</v>
      </c>
      <c r="Q28" s="72">
        <f>Q29+Q30</f>
        <v>0</v>
      </c>
      <c r="R28" s="241">
        <f t="shared" ref="R28:R40" si="18">IFERROR((Q28-N28)/N28,)</f>
        <v>0</v>
      </c>
      <c r="S28" s="243">
        <f t="shared" ref="S28:S40" si="19">IFERROR((Q28-G28)/G28,)</f>
        <v>-1</v>
      </c>
      <c r="T28" s="442"/>
    </row>
    <row r="29" spans="1:21" s="80" customFormat="1" ht="16.2" customHeight="1">
      <c r="A29" s="141">
        <f t="shared" ref="A29:A43" si="20">A28+1</f>
        <v>3</v>
      </c>
      <c r="B29" s="74" t="s">
        <v>189</v>
      </c>
      <c r="C29" s="74" t="s">
        <v>316</v>
      </c>
      <c r="D29" s="247">
        <v>25.904</v>
      </c>
      <c r="E29" s="248">
        <v>32.86</v>
      </c>
      <c r="F29" s="248">
        <v>31.338000000000001</v>
      </c>
      <c r="G29" s="248">
        <f>37.641+0.301</f>
        <v>37.942</v>
      </c>
      <c r="H29" s="247">
        <v>35.6</v>
      </c>
      <c r="I29" s="214">
        <v>-6.1725791998313184E-2</v>
      </c>
      <c r="J29" s="215">
        <v>0.37430512662137128</v>
      </c>
      <c r="K29" s="247">
        <v>41.572000000000003</v>
      </c>
      <c r="L29" s="214">
        <f t="shared" si="14"/>
        <v>0.16775280898876407</v>
      </c>
      <c r="M29" s="215">
        <f t="shared" si="15"/>
        <v>0.26512477175897758</v>
      </c>
      <c r="N29" s="247">
        <v>0</v>
      </c>
      <c r="O29" s="214">
        <f t="shared" si="16"/>
        <v>-1</v>
      </c>
      <c r="P29" s="215">
        <f t="shared" si="17"/>
        <v>-1</v>
      </c>
      <c r="Q29" s="247">
        <v>0</v>
      </c>
      <c r="R29" s="214">
        <f t="shared" si="18"/>
        <v>0</v>
      </c>
      <c r="S29" s="216">
        <f t="shared" si="19"/>
        <v>-1</v>
      </c>
      <c r="T29" s="442"/>
    </row>
    <row r="30" spans="1:21" s="80" customFormat="1" ht="16.2" customHeight="1">
      <c r="A30" s="141">
        <f t="shared" si="20"/>
        <v>4</v>
      </c>
      <c r="B30" s="74" t="s">
        <v>190</v>
      </c>
      <c r="C30" s="74" t="s">
        <v>317</v>
      </c>
      <c r="D30" s="247">
        <v>9.1630000000000003</v>
      </c>
      <c r="E30" s="248">
        <v>12.63</v>
      </c>
      <c r="F30" s="248">
        <v>11.609</v>
      </c>
      <c r="G30" s="248">
        <v>12.523999999999999</v>
      </c>
      <c r="H30" s="247">
        <v>6.5620000000000003</v>
      </c>
      <c r="I30" s="214">
        <v>-0.47604599169594375</v>
      </c>
      <c r="J30" s="215">
        <v>-0.28385899814471238</v>
      </c>
      <c r="K30" s="247">
        <v>7.65</v>
      </c>
      <c r="L30" s="214">
        <f t="shared" si="14"/>
        <v>0.16580310880829016</v>
      </c>
      <c r="M30" s="215">
        <f t="shared" si="15"/>
        <v>-0.3942992874109264</v>
      </c>
      <c r="N30" s="247">
        <v>0</v>
      </c>
      <c r="O30" s="214">
        <f t="shared" si="16"/>
        <v>-1</v>
      </c>
      <c r="P30" s="215">
        <f t="shared" si="17"/>
        <v>-1</v>
      </c>
      <c r="Q30" s="247">
        <v>0</v>
      </c>
      <c r="R30" s="214">
        <f t="shared" si="18"/>
        <v>0</v>
      </c>
      <c r="S30" s="216">
        <f t="shared" si="19"/>
        <v>-1</v>
      </c>
      <c r="T30" s="442"/>
    </row>
    <row r="31" spans="1:21" s="14" customFormat="1" ht="16.2" customHeight="1">
      <c r="A31" s="141">
        <f t="shared" si="20"/>
        <v>5</v>
      </c>
      <c r="B31" s="67" t="s">
        <v>191</v>
      </c>
      <c r="C31" s="67" t="s">
        <v>292</v>
      </c>
      <c r="D31" s="72">
        <f>D32+D33</f>
        <v>40.986000000000004</v>
      </c>
      <c r="E31" s="73">
        <f>E32+E33</f>
        <v>35.207999999999998</v>
      </c>
      <c r="F31" s="73">
        <f>F32+F33</f>
        <v>37.308999999999997</v>
      </c>
      <c r="G31" s="73">
        <f>G32+G33</f>
        <v>41.12</v>
      </c>
      <c r="H31" s="72">
        <f>H32+H33</f>
        <v>40.997</v>
      </c>
      <c r="I31" s="241">
        <f t="shared" si="12"/>
        <v>-2.9912451361867598E-3</v>
      </c>
      <c r="J31" s="242">
        <f t="shared" si="13"/>
        <v>2.6838432635534204E-4</v>
      </c>
      <c r="K31" s="72">
        <f>K32+K33</f>
        <v>39.234999999999999</v>
      </c>
      <c r="L31" s="241">
        <f t="shared" si="14"/>
        <v>-4.2978754543015356E-2</v>
      </c>
      <c r="M31" s="242">
        <f t="shared" si="15"/>
        <v>0.11437741422404002</v>
      </c>
      <c r="N31" s="72">
        <f>N32+N33</f>
        <v>0</v>
      </c>
      <c r="O31" s="241">
        <f t="shared" si="16"/>
        <v>-1</v>
      </c>
      <c r="P31" s="242">
        <f t="shared" si="17"/>
        <v>-1</v>
      </c>
      <c r="Q31" s="72">
        <f>Q32+Q33</f>
        <v>0</v>
      </c>
      <c r="R31" s="241">
        <f t="shared" si="18"/>
        <v>0</v>
      </c>
      <c r="S31" s="243">
        <f t="shared" si="19"/>
        <v>-1</v>
      </c>
      <c r="T31" s="442"/>
    </row>
    <row r="32" spans="1:21" s="80" customFormat="1" ht="16.2" customHeight="1">
      <c r="A32" s="141">
        <f t="shared" si="20"/>
        <v>6</v>
      </c>
      <c r="B32" s="74" t="s">
        <v>189</v>
      </c>
      <c r="C32" s="74" t="s">
        <v>316</v>
      </c>
      <c r="D32" s="247">
        <v>26.067</v>
      </c>
      <c r="E32" s="248">
        <v>20.126999999999999</v>
      </c>
      <c r="F32" s="248">
        <v>21.539000000000001</v>
      </c>
      <c r="G32" s="248">
        <v>27.725999999999999</v>
      </c>
      <c r="H32" s="247">
        <v>26.077999999999999</v>
      </c>
      <c r="I32" s="214">
        <v>-5.9438793911851695E-2</v>
      </c>
      <c r="J32" s="215">
        <v>4.2198948862548491E-4</v>
      </c>
      <c r="K32" s="247">
        <v>26.428000000000001</v>
      </c>
      <c r="L32" s="214">
        <f t="shared" si="14"/>
        <v>1.342127463762564E-2</v>
      </c>
      <c r="M32" s="215">
        <f t="shared" si="15"/>
        <v>0.31306205594475095</v>
      </c>
      <c r="N32" s="247">
        <v>0</v>
      </c>
      <c r="O32" s="214">
        <f t="shared" si="16"/>
        <v>-1</v>
      </c>
      <c r="P32" s="215">
        <f t="shared" si="17"/>
        <v>-1</v>
      </c>
      <c r="Q32" s="247">
        <v>0</v>
      </c>
      <c r="R32" s="214">
        <f t="shared" si="18"/>
        <v>0</v>
      </c>
      <c r="S32" s="216">
        <f t="shared" si="19"/>
        <v>-1</v>
      </c>
      <c r="T32" s="442"/>
      <c r="U32" s="1020" t="s">
        <v>456</v>
      </c>
    </row>
    <row r="33" spans="1:20" s="80" customFormat="1" ht="16.2" customHeight="1">
      <c r="A33" s="141">
        <f t="shared" si="20"/>
        <v>7</v>
      </c>
      <c r="B33" s="74" t="s">
        <v>190</v>
      </c>
      <c r="C33" s="75" t="s">
        <v>317</v>
      </c>
      <c r="D33" s="247">
        <v>14.919</v>
      </c>
      <c r="E33" s="248">
        <v>15.081</v>
      </c>
      <c r="F33" s="248">
        <v>15.77</v>
      </c>
      <c r="G33" s="248">
        <v>13.394</v>
      </c>
      <c r="H33" s="247">
        <v>14.919</v>
      </c>
      <c r="I33" s="214">
        <v>0.11385695087352543</v>
      </c>
      <c r="J33" s="215">
        <v>0</v>
      </c>
      <c r="K33" s="247">
        <v>12.807</v>
      </c>
      <c r="L33" s="214">
        <f t="shared" si="14"/>
        <v>-0.14156444801930423</v>
      </c>
      <c r="M33" s="215">
        <f t="shared" si="15"/>
        <v>-0.15078575691267151</v>
      </c>
      <c r="N33" s="247">
        <v>0</v>
      </c>
      <c r="O33" s="214">
        <f t="shared" si="16"/>
        <v>-1</v>
      </c>
      <c r="P33" s="215">
        <f t="shared" si="17"/>
        <v>-1</v>
      </c>
      <c r="Q33" s="247">
        <v>0</v>
      </c>
      <c r="R33" s="214">
        <f t="shared" si="18"/>
        <v>0</v>
      </c>
      <c r="S33" s="216">
        <f t="shared" si="19"/>
        <v>-1</v>
      </c>
      <c r="T33" s="442"/>
    </row>
    <row r="34" spans="1:20" s="14" customFormat="1" ht="13.2">
      <c r="A34" s="141">
        <f t="shared" si="20"/>
        <v>8</v>
      </c>
      <c r="B34" s="67" t="s">
        <v>468</v>
      </c>
      <c r="C34" s="68" t="s">
        <v>354</v>
      </c>
      <c r="D34" s="72">
        <f>D35+D36</f>
        <v>0.82400000000000007</v>
      </c>
      <c r="E34" s="73">
        <f>E35+E36</f>
        <v>2.3759999999999999</v>
      </c>
      <c r="F34" s="73">
        <f>F35+F36</f>
        <v>2.5009999999999999</v>
      </c>
      <c r="G34" s="73">
        <f>G35+G36</f>
        <v>1.6020000000000001</v>
      </c>
      <c r="H34" s="72">
        <f>H35+H36</f>
        <v>2.0640000000000001</v>
      </c>
      <c r="I34" s="241">
        <f t="shared" si="12"/>
        <v>0.28838951310861427</v>
      </c>
      <c r="J34" s="242">
        <f t="shared" si="13"/>
        <v>1.5048543689320386</v>
      </c>
      <c r="K34" s="72">
        <f>K35+K36</f>
        <v>1.885</v>
      </c>
      <c r="L34" s="241">
        <f t="shared" si="14"/>
        <v>-8.6724806201550403E-2</v>
      </c>
      <c r="M34" s="242">
        <f t="shared" si="15"/>
        <v>-0.20664983164983161</v>
      </c>
      <c r="N34" s="72">
        <f>N35+N36</f>
        <v>0</v>
      </c>
      <c r="O34" s="241">
        <f t="shared" si="16"/>
        <v>-1</v>
      </c>
      <c r="P34" s="242">
        <f t="shared" si="17"/>
        <v>-1</v>
      </c>
      <c r="Q34" s="72">
        <f>Q35+Q36</f>
        <v>0</v>
      </c>
      <c r="R34" s="241">
        <f t="shared" si="18"/>
        <v>0</v>
      </c>
      <c r="S34" s="243">
        <f t="shared" si="19"/>
        <v>-1</v>
      </c>
      <c r="T34" s="442"/>
    </row>
    <row r="35" spans="1:20" s="80" customFormat="1" ht="16.2" customHeight="1">
      <c r="A35" s="141">
        <f t="shared" si="20"/>
        <v>9</v>
      </c>
      <c r="B35" s="74" t="s">
        <v>189</v>
      </c>
      <c r="C35" s="75" t="s">
        <v>316</v>
      </c>
      <c r="D35" s="247">
        <v>0.56200000000000006</v>
      </c>
      <c r="E35" s="248">
        <v>0.40899999999999997</v>
      </c>
      <c r="F35" s="248">
        <v>0.11700000000000001</v>
      </c>
      <c r="G35" s="248">
        <v>0.08</v>
      </c>
      <c r="H35" s="247">
        <v>0.17399999999999999</v>
      </c>
      <c r="I35" s="214">
        <v>1.1749999999999998</v>
      </c>
      <c r="J35" s="215">
        <v>-0.69039145907473309</v>
      </c>
      <c r="K35" s="247">
        <v>0.14399999999999999</v>
      </c>
      <c r="L35" s="214">
        <f t="shared" si="14"/>
        <v>-0.17241379310344829</v>
      </c>
      <c r="M35" s="215">
        <f t="shared" si="15"/>
        <v>-0.64792176039119809</v>
      </c>
      <c r="N35" s="247">
        <v>0</v>
      </c>
      <c r="O35" s="214">
        <f t="shared" si="16"/>
        <v>-1</v>
      </c>
      <c r="P35" s="215">
        <f t="shared" si="17"/>
        <v>-1</v>
      </c>
      <c r="Q35" s="247">
        <v>0</v>
      </c>
      <c r="R35" s="214">
        <f t="shared" si="18"/>
        <v>0</v>
      </c>
      <c r="S35" s="216">
        <f t="shared" si="19"/>
        <v>-1</v>
      </c>
      <c r="T35" s="442"/>
    </row>
    <row r="36" spans="1:20" s="80" customFormat="1" ht="16.2" customHeight="1">
      <c r="A36" s="141">
        <f t="shared" si="20"/>
        <v>10</v>
      </c>
      <c r="B36" s="74" t="s">
        <v>190</v>
      </c>
      <c r="C36" s="75" t="s">
        <v>317</v>
      </c>
      <c r="D36" s="247">
        <v>0.26200000000000001</v>
      </c>
      <c r="E36" s="248">
        <v>1.9670000000000001</v>
      </c>
      <c r="F36" s="248">
        <v>2.3839999999999999</v>
      </c>
      <c r="G36" s="248">
        <f>1.677-0.155</f>
        <v>1.522</v>
      </c>
      <c r="H36" s="247">
        <v>1.89</v>
      </c>
      <c r="I36" s="214">
        <v>0.24178712220762155</v>
      </c>
      <c r="J36" s="215">
        <v>6.2137404580152662</v>
      </c>
      <c r="K36" s="247">
        <v>1.7410000000000001</v>
      </c>
      <c r="L36" s="214">
        <f t="shared" si="14"/>
        <v>-7.8835978835978732E-2</v>
      </c>
      <c r="M36" s="215">
        <f t="shared" si="15"/>
        <v>-0.1148957803762074</v>
      </c>
      <c r="N36" s="247">
        <v>0</v>
      </c>
      <c r="O36" s="214">
        <f t="shared" si="16"/>
        <v>-1</v>
      </c>
      <c r="P36" s="215">
        <f t="shared" si="17"/>
        <v>-1</v>
      </c>
      <c r="Q36" s="247">
        <v>0</v>
      </c>
      <c r="R36" s="214">
        <f t="shared" si="18"/>
        <v>0</v>
      </c>
      <c r="S36" s="216">
        <f t="shared" si="19"/>
        <v>-1</v>
      </c>
      <c r="T36" s="442"/>
    </row>
    <row r="37" spans="1:20" s="14" customFormat="1" ht="16.2" customHeight="1" thickBot="1">
      <c r="A37" s="141">
        <f t="shared" si="20"/>
        <v>11</v>
      </c>
      <c r="B37" s="67" t="s">
        <v>245</v>
      </c>
      <c r="C37" s="68" t="s">
        <v>173</v>
      </c>
      <c r="D37" s="72">
        <v>0.23599999999999999</v>
      </c>
      <c r="E37" s="73">
        <v>0.21</v>
      </c>
      <c r="F37" s="73">
        <v>0.24399999999999999</v>
      </c>
      <c r="G37" s="73">
        <v>0.23699999999999999</v>
      </c>
      <c r="H37" s="72">
        <v>0.15</v>
      </c>
      <c r="I37" s="241">
        <v>-0.36708860759493667</v>
      </c>
      <c r="J37" s="242">
        <v>-0.36440677966101698</v>
      </c>
      <c r="K37" s="72">
        <v>0.11799999999999999</v>
      </c>
      <c r="L37" s="241">
        <f t="shared" si="14"/>
        <v>-0.21333333333333335</v>
      </c>
      <c r="M37" s="242">
        <f t="shared" si="15"/>
        <v>-0.43809523809523809</v>
      </c>
      <c r="N37" s="72">
        <v>0</v>
      </c>
      <c r="O37" s="241">
        <f t="shared" si="16"/>
        <v>-1</v>
      </c>
      <c r="P37" s="242">
        <f t="shared" si="17"/>
        <v>-1</v>
      </c>
      <c r="Q37" s="72">
        <v>0</v>
      </c>
      <c r="R37" s="241">
        <f t="shared" si="18"/>
        <v>0</v>
      </c>
      <c r="S37" s="243">
        <f t="shared" si="19"/>
        <v>-1</v>
      </c>
      <c r="T37" s="442"/>
    </row>
    <row r="38" spans="1:20" s="41" customFormat="1" ht="16.2" customHeight="1" thickBot="1">
      <c r="A38" s="141">
        <f t="shared" si="20"/>
        <v>12</v>
      </c>
      <c r="B38" s="851" t="s">
        <v>508</v>
      </c>
      <c r="C38" s="852" t="s">
        <v>7</v>
      </c>
      <c r="D38" s="853">
        <f>D39+D40</f>
        <v>77.113</v>
      </c>
      <c r="E38" s="854">
        <f>E39+E40</f>
        <v>83.283999999999992</v>
      </c>
      <c r="F38" s="854">
        <f>F39+F40</f>
        <v>83.001000000000005</v>
      </c>
      <c r="G38" s="854">
        <f>G39+G40</f>
        <v>93.424999999999997</v>
      </c>
      <c r="H38" s="853">
        <f>H39+H40</f>
        <v>85.37299999999999</v>
      </c>
      <c r="I38" s="855">
        <f t="shared" si="12"/>
        <v>-8.6186780840246224E-2</v>
      </c>
      <c r="J38" s="856">
        <f t="shared" si="13"/>
        <v>0.10711553175210398</v>
      </c>
      <c r="K38" s="853">
        <f>K39+K40</f>
        <v>90.460000000000008</v>
      </c>
      <c r="L38" s="855">
        <f t="shared" si="14"/>
        <v>5.9585583264029823E-2</v>
      </c>
      <c r="M38" s="856">
        <f t="shared" si="15"/>
        <v>8.6163008501032812E-2</v>
      </c>
      <c r="N38" s="251">
        <f>N39+N40</f>
        <v>0</v>
      </c>
      <c r="O38" s="252">
        <f t="shared" si="16"/>
        <v>-1</v>
      </c>
      <c r="P38" s="253">
        <f t="shared" si="17"/>
        <v>-1</v>
      </c>
      <c r="Q38" s="251">
        <f>Q39+Q40</f>
        <v>0</v>
      </c>
      <c r="R38" s="252">
        <f t="shared" si="18"/>
        <v>0</v>
      </c>
      <c r="S38" s="254">
        <f t="shared" si="19"/>
        <v>-1</v>
      </c>
      <c r="T38" s="442"/>
    </row>
    <row r="39" spans="1:20" s="80" customFormat="1" ht="16.2" customHeight="1">
      <c r="A39" s="141">
        <f t="shared" si="20"/>
        <v>13</v>
      </c>
      <c r="B39" s="880" t="s">
        <v>189</v>
      </c>
      <c r="C39" s="881" t="s">
        <v>316</v>
      </c>
      <c r="D39" s="882">
        <f>D29+D32+D35</f>
        <v>52.533000000000001</v>
      </c>
      <c r="E39" s="859">
        <f>E29+E32+E35</f>
        <v>53.395999999999994</v>
      </c>
      <c r="F39" s="859">
        <f>F29+F32+F35</f>
        <v>52.994</v>
      </c>
      <c r="G39" s="859">
        <f>G29+G32+G35</f>
        <v>65.748000000000005</v>
      </c>
      <c r="H39" s="882">
        <f>H29+H32+H35</f>
        <v>61.851999999999997</v>
      </c>
      <c r="I39" s="863">
        <f t="shared" si="12"/>
        <v>-5.9256555332481753E-2</v>
      </c>
      <c r="J39" s="883">
        <f t="shared" si="13"/>
        <v>0.17739325757143121</v>
      </c>
      <c r="K39" s="882">
        <f>K29+K32+K35</f>
        <v>68.144000000000005</v>
      </c>
      <c r="L39" s="863">
        <f t="shared" si="14"/>
        <v>0.10172670245101224</v>
      </c>
      <c r="M39" s="883">
        <f t="shared" si="15"/>
        <v>0.27620046445426649</v>
      </c>
      <c r="N39" s="882">
        <f>N29+N32+N35</f>
        <v>0</v>
      </c>
      <c r="O39" s="863">
        <f t="shared" si="16"/>
        <v>-1</v>
      </c>
      <c r="P39" s="883">
        <f t="shared" si="17"/>
        <v>-1</v>
      </c>
      <c r="Q39" s="882">
        <f>Q29+Q32+Q35</f>
        <v>0</v>
      </c>
      <c r="R39" s="863">
        <f t="shared" si="18"/>
        <v>0</v>
      </c>
      <c r="S39" s="890">
        <f t="shared" si="19"/>
        <v>-1</v>
      </c>
      <c r="T39" s="891"/>
    </row>
    <row r="40" spans="1:20" ht="16.2" customHeight="1" thickBot="1">
      <c r="A40" s="141">
        <f t="shared" si="20"/>
        <v>14</v>
      </c>
      <c r="B40" s="880" t="s">
        <v>190</v>
      </c>
      <c r="C40" s="881" t="s">
        <v>317</v>
      </c>
      <c r="D40" s="882">
        <f>D30+D33+D36+D37</f>
        <v>24.580000000000002</v>
      </c>
      <c r="E40" s="859">
        <f>E30+E33+E36+E37</f>
        <v>29.887999999999998</v>
      </c>
      <c r="F40" s="859">
        <f>F30+F33+F36+F37</f>
        <v>30.006999999999998</v>
      </c>
      <c r="G40" s="859">
        <f>G30+G33+G36+G37</f>
        <v>27.676999999999996</v>
      </c>
      <c r="H40" s="882">
        <f>H30+H33+H36+H37</f>
        <v>23.521000000000001</v>
      </c>
      <c r="I40" s="863">
        <f t="shared" si="12"/>
        <v>-0.15016078332189164</v>
      </c>
      <c r="J40" s="883">
        <f t="shared" si="13"/>
        <v>-4.3083807973962607E-2</v>
      </c>
      <c r="K40" s="882">
        <f>K30+K33+K36+K37</f>
        <v>22.315999999999999</v>
      </c>
      <c r="L40" s="863">
        <f t="shared" si="14"/>
        <v>-5.1230815016368426E-2</v>
      </c>
      <c r="M40" s="883">
        <f t="shared" si="15"/>
        <v>-0.2533458244111349</v>
      </c>
      <c r="N40" s="892">
        <f>N30+N33+N36+N37</f>
        <v>0</v>
      </c>
      <c r="O40" s="893">
        <f t="shared" si="16"/>
        <v>-1</v>
      </c>
      <c r="P40" s="894">
        <f t="shared" si="17"/>
        <v>-1</v>
      </c>
      <c r="Q40" s="892">
        <f>Q30+Q33+Q36+Q37</f>
        <v>0</v>
      </c>
      <c r="R40" s="893">
        <f t="shared" si="18"/>
        <v>0</v>
      </c>
      <c r="S40" s="895">
        <f t="shared" si="19"/>
        <v>-1</v>
      </c>
      <c r="T40" s="891"/>
    </row>
    <row r="41" spans="1:20" ht="16.2" customHeight="1" thickBot="1">
      <c r="B41" s="851" t="s">
        <v>509</v>
      </c>
      <c r="C41" s="852" t="s">
        <v>498</v>
      </c>
      <c r="D41" s="853">
        <v>0</v>
      </c>
      <c r="E41" s="854">
        <v>0</v>
      </c>
      <c r="F41" s="854">
        <v>0</v>
      </c>
      <c r="G41" s="854">
        <v>0</v>
      </c>
      <c r="H41" s="853">
        <v>1.8</v>
      </c>
      <c r="I41" s="855">
        <f>IFERROR(H41/G41-1,)</f>
        <v>0</v>
      </c>
      <c r="J41" s="857">
        <f>IFERROR(H41/D41-1,)</f>
        <v>0</v>
      </c>
      <c r="K41" s="853">
        <v>15.055999999999999</v>
      </c>
      <c r="L41" s="1062">
        <f>IFERROR(K41/H41-1,)</f>
        <v>7.3644444444444446</v>
      </c>
      <c r="M41" s="857">
        <f>IFERROR(K41/E41-1,)</f>
        <v>0</v>
      </c>
      <c r="N41" s="259"/>
      <c r="O41" s="258"/>
      <c r="P41" s="258"/>
      <c r="Q41" s="259"/>
      <c r="R41" s="258"/>
      <c r="S41" s="260"/>
      <c r="T41" s="442"/>
    </row>
    <row r="42" spans="1:20" ht="16.2" customHeight="1">
      <c r="A42" s="141">
        <f>A40+1</f>
        <v>15</v>
      </c>
      <c r="B42" s="858" t="s">
        <v>192</v>
      </c>
      <c r="C42" s="858" t="s">
        <v>8</v>
      </c>
      <c r="D42" s="859">
        <v>11.808999999999999</v>
      </c>
      <c r="E42" s="859">
        <v>4.5469999999999997</v>
      </c>
      <c r="F42" s="860" t="s">
        <v>353</v>
      </c>
      <c r="G42" s="860" t="s">
        <v>353</v>
      </c>
      <c r="H42" s="1044" t="s">
        <v>353</v>
      </c>
      <c r="I42" s="1044"/>
      <c r="J42" s="1044"/>
      <c r="K42" s="861" t="s">
        <v>353</v>
      </c>
      <c r="L42" s="862"/>
      <c r="M42" s="862"/>
      <c r="N42" s="861" t="s">
        <v>353</v>
      </c>
      <c r="O42" s="862"/>
      <c r="P42" s="862"/>
      <c r="Q42" s="861" t="s">
        <v>353</v>
      </c>
      <c r="R42" s="862"/>
      <c r="S42" s="862"/>
      <c r="T42" s="41"/>
    </row>
    <row r="43" spans="1:20" ht="16.2" customHeight="1">
      <c r="A43" s="141">
        <f t="shared" si="20"/>
        <v>16</v>
      </c>
      <c r="B43" s="858" t="s">
        <v>510</v>
      </c>
      <c r="C43" s="858" t="s">
        <v>511</v>
      </c>
      <c r="D43" s="859">
        <v>1452.66</v>
      </c>
      <c r="E43" s="859">
        <v>1404.04</v>
      </c>
      <c r="F43" s="859">
        <v>1385.2846153846153</v>
      </c>
      <c r="G43" s="859">
        <v>1450.98</v>
      </c>
      <c r="H43" s="859">
        <v>1465.16</v>
      </c>
      <c r="I43" s="863"/>
      <c r="J43" s="863"/>
      <c r="K43" s="859">
        <v>1501.6</v>
      </c>
      <c r="L43" s="863"/>
      <c r="M43" s="863"/>
      <c r="N43" s="859">
        <v>0</v>
      </c>
      <c r="O43" s="863"/>
      <c r="P43" s="863"/>
      <c r="Q43" s="859">
        <v>0</v>
      </c>
      <c r="R43" s="863"/>
      <c r="S43" s="863"/>
      <c r="T43" s="41"/>
    </row>
    <row r="44" spans="1:20" s="33" customFormat="1" ht="16.2" customHeight="1">
      <c r="A44" s="41"/>
      <c r="B44" s="136"/>
      <c r="C44" s="41"/>
      <c r="D44" s="261" t="b">
        <f>ROUND(D38,1)=ROUND(D4,1)</f>
        <v>1</v>
      </c>
      <c r="E44" s="261" t="b">
        <f>ROUND(E38,1)=ROUND(E4,1)</f>
        <v>1</v>
      </c>
      <c r="F44" s="261" t="b">
        <f>ROUND(F38,1)=ROUND(F4,1)</f>
        <v>1</v>
      </c>
      <c r="G44" s="261" t="b">
        <f>ROUND(G38,1)=ROUND(G4,1)</f>
        <v>1</v>
      </c>
      <c r="H44" s="261" t="b">
        <f>ROUND(H38+H41,1)=ROUND(H4,1)</f>
        <v>1</v>
      </c>
      <c r="I44" s="41"/>
      <c r="J44" s="41"/>
      <c r="K44" s="261" t="b">
        <f>ROUND(K38+K41,1)=ROUND(K4,1)</f>
        <v>1</v>
      </c>
      <c r="L44" s="41"/>
      <c r="M44" s="41"/>
      <c r="N44" s="261" t="b">
        <f>ROUND(N38,1)=ROUND(N4,1)</f>
        <v>1</v>
      </c>
      <c r="O44" s="262"/>
      <c r="P44" s="262"/>
      <c r="Q44" s="261" t="b">
        <f>ROUND(Q38,1)=ROUND(Q4,1)</f>
        <v>1</v>
      </c>
      <c r="R44" s="262"/>
      <c r="S44" s="262"/>
      <c r="T44" s="41"/>
    </row>
    <row r="45" spans="1:20" s="36" customFormat="1" ht="13.8" thickBot="1">
      <c r="A45" s="142"/>
      <c r="B45" s="34" t="s">
        <v>188</v>
      </c>
      <c r="C45" s="35"/>
      <c r="D45" s="176"/>
      <c r="E45" s="176"/>
      <c r="F45" s="176"/>
      <c r="G45" s="176"/>
      <c r="H45" s="176"/>
      <c r="I45" s="176"/>
      <c r="J45" s="176"/>
      <c r="K45" s="176"/>
      <c r="L45" s="176"/>
      <c r="M45" s="176"/>
      <c r="N45" s="176"/>
      <c r="O45" s="176"/>
      <c r="P45" s="176"/>
      <c r="Q45" s="176"/>
      <c r="R45" s="176"/>
      <c r="S45" s="176"/>
      <c r="T45" s="41"/>
    </row>
    <row r="46" spans="1:20" s="32" customFormat="1" ht="16.2" customHeight="1" thickBot="1">
      <c r="A46" s="144"/>
      <c r="B46" s="166" t="s">
        <v>400</v>
      </c>
      <c r="C46" s="167" t="s">
        <v>401</v>
      </c>
      <c r="D46" s="237" t="str">
        <f>D26</f>
        <v>1Q25</v>
      </c>
      <c r="E46" s="239" t="str">
        <f>E26</f>
        <v>2Q25</v>
      </c>
      <c r="F46" s="239" t="str">
        <f>F26</f>
        <v>3Q25</v>
      </c>
      <c r="G46" s="263" t="str">
        <f>G26</f>
        <v>4Q25</v>
      </c>
      <c r="H46" s="237" t="str">
        <f>H26</f>
        <v>1Q26</v>
      </c>
      <c r="I46" s="180" t="s">
        <v>1</v>
      </c>
      <c r="J46" s="180" t="s">
        <v>0</v>
      </c>
      <c r="K46" s="237" t="str">
        <f>K26</f>
        <v>2Q26</v>
      </c>
      <c r="L46" s="238"/>
      <c r="M46" s="238"/>
      <c r="N46" s="237" t="str">
        <f>N26</f>
        <v>3Q26</v>
      </c>
      <c r="O46" s="238"/>
      <c r="P46" s="238"/>
      <c r="Q46" s="237" t="str">
        <f>Q26</f>
        <v>4Q26</v>
      </c>
      <c r="R46" s="238"/>
      <c r="S46" s="240"/>
      <c r="T46" s="41"/>
    </row>
    <row r="47" spans="1:20" s="131" customFormat="1" ht="16.2" customHeight="1" thickBot="1">
      <c r="A47" s="147"/>
      <c r="B47" s="864" t="str">
        <f t="shared" ref="B47:C53" si="21">B27</f>
        <v>연결매출총계</v>
      </c>
      <c r="C47" s="865" t="str">
        <f t="shared" si="21"/>
        <v>Total Consolidated Revenue</v>
      </c>
      <c r="D47" s="866">
        <f t="shared" ref="D47:H61" si="22">IFERROR(D27/D$27,"")</f>
        <v>1</v>
      </c>
      <c r="E47" s="867">
        <f t="shared" si="22"/>
        <v>1</v>
      </c>
      <c r="F47" s="868">
        <f t="shared" si="22"/>
        <v>1</v>
      </c>
      <c r="G47" s="868">
        <f t="shared" si="22"/>
        <v>1</v>
      </c>
      <c r="H47" s="869">
        <f t="shared" si="22"/>
        <v>1</v>
      </c>
      <c r="I47" s="870"/>
      <c r="J47" s="871"/>
      <c r="K47" s="869">
        <f>IFERROR(K27/K$27,"")</f>
        <v>1</v>
      </c>
      <c r="L47" s="870"/>
      <c r="M47" s="871"/>
      <c r="N47" s="869" t="str">
        <f t="shared" ref="N47:N62" si="23">IFERROR(N27/N$38,"")</f>
        <v/>
      </c>
      <c r="O47" s="870"/>
      <c r="P47" s="871"/>
      <c r="Q47" s="869" t="str">
        <f t="shared" ref="Q47:Q62" si="24">IFERROR(Q27/Q$38,"")</f>
        <v/>
      </c>
      <c r="R47" s="870"/>
      <c r="S47" s="871"/>
      <c r="T47" s="41"/>
    </row>
    <row r="48" spans="1:20" s="14" customFormat="1" ht="16.2" customHeight="1">
      <c r="A48" s="142"/>
      <c r="B48" s="67" t="str">
        <f t="shared" si="21"/>
        <v>장비</v>
      </c>
      <c r="C48" s="68" t="str">
        <f t="shared" si="21"/>
        <v>Device</v>
      </c>
      <c r="D48" s="87">
        <f t="shared" si="22"/>
        <v>0.45474822662845438</v>
      </c>
      <c r="E48" s="88">
        <f t="shared" si="22"/>
        <v>0.54620335238461182</v>
      </c>
      <c r="F48" s="88">
        <f t="shared" si="22"/>
        <v>0.51742750087348344</v>
      </c>
      <c r="G48" s="89">
        <f t="shared" si="22"/>
        <v>0.54017661225582025</v>
      </c>
      <c r="H48" s="90">
        <f t="shared" si="22"/>
        <v>0.4836589310910489</v>
      </c>
      <c r="I48" s="772">
        <f>+H48-G48</f>
        <v>-5.651768116477135E-2</v>
      </c>
      <c r="J48" s="773">
        <f>+H48-D48</f>
        <v>2.8910704462594528E-2</v>
      </c>
      <c r="K48" s="90">
        <f>IFERROR(K28/K$27,"")</f>
        <v>0.4664884946358846</v>
      </c>
      <c r="L48" s="772">
        <f>+K48-H48</f>
        <v>-1.7170436455164306E-2</v>
      </c>
      <c r="M48" s="773">
        <f>+K48-E48</f>
        <v>-7.9714857748727219E-2</v>
      </c>
      <c r="N48" s="90" t="str">
        <f t="shared" si="23"/>
        <v/>
      </c>
      <c r="O48" s="772"/>
      <c r="P48" s="773"/>
      <c r="Q48" s="90" t="str">
        <f t="shared" si="24"/>
        <v/>
      </c>
      <c r="R48" s="772"/>
      <c r="S48" s="773"/>
      <c r="T48" s="41"/>
    </row>
    <row r="49" spans="1:20" s="91" customFormat="1" ht="16.2" customHeight="1">
      <c r="A49" s="145"/>
      <c r="B49" s="74" t="str">
        <f t="shared" si="21"/>
        <v>수출</v>
      </c>
      <c r="C49" s="75" t="str">
        <f t="shared" si="21"/>
        <v>Global</v>
      </c>
      <c r="D49" s="264">
        <f t="shared" si="22"/>
        <v>0.33592260708311178</v>
      </c>
      <c r="E49" s="265">
        <f t="shared" si="22"/>
        <v>0.39455357571682437</v>
      </c>
      <c r="F49" s="265">
        <f t="shared" si="22"/>
        <v>0.3775617161239021</v>
      </c>
      <c r="G49" s="266">
        <f t="shared" si="22"/>
        <v>0.40612255820176613</v>
      </c>
      <c r="H49" s="267">
        <f t="shared" si="22"/>
        <v>0.40838332970071017</v>
      </c>
      <c r="I49" s="774">
        <f t="shared" ref="I49:I61" si="25">+H49-G49</f>
        <v>2.2607714989440475E-3</v>
      </c>
      <c r="J49" s="775">
        <f t="shared" ref="J49:J61" si="26">+H49-D49</f>
        <v>7.2460722617598394E-2</v>
      </c>
      <c r="K49" s="267">
        <f t="shared" ref="K49:K61" si="27">IFERROR(K29/K$27,"")</f>
        <v>0.39398764168467343</v>
      </c>
      <c r="L49" s="774">
        <f t="shared" ref="L49:L61" si="28">+K49-H49</f>
        <v>-1.4395688016036745E-2</v>
      </c>
      <c r="M49" s="775">
        <f t="shared" ref="M49:M61" si="29">+K49-E49</f>
        <v>-5.6593403215093874E-4</v>
      </c>
      <c r="N49" s="267" t="str">
        <f t="shared" si="23"/>
        <v/>
      </c>
      <c r="O49" s="774"/>
      <c r="P49" s="775"/>
      <c r="Q49" s="267" t="str">
        <f t="shared" si="24"/>
        <v/>
      </c>
      <c r="R49" s="774"/>
      <c r="S49" s="775"/>
      <c r="T49" s="41"/>
    </row>
    <row r="50" spans="1:20" s="91" customFormat="1" ht="16.2" customHeight="1">
      <c r="A50" s="145"/>
      <c r="B50" s="74" t="str">
        <f t="shared" si="21"/>
        <v>내수</v>
      </c>
      <c r="C50" s="75" t="str">
        <f t="shared" si="21"/>
        <v>Korea</v>
      </c>
      <c r="D50" s="264">
        <f t="shared" si="22"/>
        <v>0.11882561954534256</v>
      </c>
      <c r="E50" s="265">
        <f t="shared" si="22"/>
        <v>0.15164977666778737</v>
      </c>
      <c r="F50" s="265">
        <f t="shared" si="22"/>
        <v>0.13986578474958133</v>
      </c>
      <c r="G50" s="266">
        <f t="shared" si="22"/>
        <v>0.13405405405405404</v>
      </c>
      <c r="H50" s="267">
        <f t="shared" si="22"/>
        <v>7.5275601390338759E-2</v>
      </c>
      <c r="I50" s="774">
        <f t="shared" si="25"/>
        <v>-5.8778452663715286E-2</v>
      </c>
      <c r="J50" s="775">
        <f t="shared" si="26"/>
        <v>-4.3550018155003797E-2</v>
      </c>
      <c r="K50" s="267">
        <f t="shared" si="27"/>
        <v>7.2500852951211184E-2</v>
      </c>
      <c r="L50" s="774">
        <f t="shared" si="28"/>
        <v>-2.7747484391275751E-3</v>
      </c>
      <c r="M50" s="775">
        <f t="shared" si="29"/>
        <v>-7.9148923716576183E-2</v>
      </c>
      <c r="N50" s="267" t="str">
        <f t="shared" si="23"/>
        <v/>
      </c>
      <c r="O50" s="774"/>
      <c r="P50" s="775"/>
      <c r="Q50" s="267" t="str">
        <f t="shared" si="24"/>
        <v/>
      </c>
      <c r="R50" s="774"/>
      <c r="S50" s="775"/>
      <c r="T50" s="41"/>
    </row>
    <row r="51" spans="1:20" s="14" customFormat="1" ht="16.2" customHeight="1">
      <c r="A51" s="142"/>
      <c r="B51" s="67" t="str">
        <f t="shared" si="21"/>
        <v>소모품</v>
      </c>
      <c r="C51" s="68" t="str">
        <f t="shared" si="21"/>
        <v>Consumable</v>
      </c>
      <c r="D51" s="87">
        <f t="shared" si="22"/>
        <v>0.53150571239609412</v>
      </c>
      <c r="E51" s="88">
        <f t="shared" si="22"/>
        <v>0.42274626578934732</v>
      </c>
      <c r="F51" s="88">
        <f t="shared" si="22"/>
        <v>0.44950060842640444</v>
      </c>
      <c r="G51" s="89">
        <f t="shared" si="22"/>
        <v>0.44013914905004015</v>
      </c>
      <c r="H51" s="90">
        <f t="shared" si="22"/>
        <v>0.47029470134101165</v>
      </c>
      <c r="I51" s="772">
        <f t="shared" si="25"/>
        <v>3.0155552290971499E-2</v>
      </c>
      <c r="J51" s="773">
        <f t="shared" si="26"/>
        <v>-6.1211011055082476E-2</v>
      </c>
      <c r="K51" s="90">
        <f t="shared" si="27"/>
        <v>0.37183934190075435</v>
      </c>
      <c r="L51" s="772">
        <f t="shared" si="28"/>
        <v>-9.8455359440257295E-2</v>
      </c>
      <c r="M51" s="773">
        <f t="shared" si="29"/>
        <v>-5.090692388859297E-2</v>
      </c>
      <c r="N51" s="90" t="str">
        <f t="shared" si="23"/>
        <v/>
      </c>
      <c r="O51" s="772"/>
      <c r="P51" s="773"/>
      <c r="Q51" s="90" t="str">
        <f t="shared" si="24"/>
        <v/>
      </c>
      <c r="R51" s="772"/>
      <c r="S51" s="773"/>
      <c r="T51" s="41"/>
    </row>
    <row r="52" spans="1:20" s="91" customFormat="1" ht="16.2" customHeight="1">
      <c r="A52" s="145"/>
      <c r="B52" s="74" t="str">
        <f t="shared" si="21"/>
        <v>수출</v>
      </c>
      <c r="C52" s="75" t="str">
        <f t="shared" si="21"/>
        <v>Global</v>
      </c>
      <c r="D52" s="264">
        <f t="shared" si="22"/>
        <v>0.33803638815763881</v>
      </c>
      <c r="E52" s="265">
        <f t="shared" si="22"/>
        <v>0.24166706690360695</v>
      </c>
      <c r="F52" s="265">
        <f t="shared" si="22"/>
        <v>0.25950289755545114</v>
      </c>
      <c r="G52" s="266">
        <f t="shared" si="22"/>
        <v>0.29677281241637676</v>
      </c>
      <c r="H52" s="267">
        <f t="shared" si="22"/>
        <v>0.29915226044761567</v>
      </c>
      <c r="I52" s="774">
        <f t="shared" si="25"/>
        <v>2.3794480312389066E-3</v>
      </c>
      <c r="J52" s="775">
        <f t="shared" si="26"/>
        <v>-3.8884127710023142E-2</v>
      </c>
      <c r="K52" s="267">
        <f t="shared" si="27"/>
        <v>0.25046438454831493</v>
      </c>
      <c r="L52" s="774">
        <f t="shared" si="28"/>
        <v>-4.8687875899300737E-2</v>
      </c>
      <c r="M52" s="775">
        <f t="shared" si="29"/>
        <v>8.7973176447079804E-3</v>
      </c>
      <c r="N52" s="267" t="str">
        <f t="shared" si="23"/>
        <v/>
      </c>
      <c r="O52" s="774"/>
      <c r="P52" s="775"/>
      <c r="Q52" s="267" t="str">
        <f t="shared" si="24"/>
        <v/>
      </c>
      <c r="R52" s="774"/>
      <c r="S52" s="775"/>
      <c r="T52" s="41"/>
    </row>
    <row r="53" spans="1:20" s="91" customFormat="1" ht="16.2" customHeight="1">
      <c r="A53" s="145"/>
      <c r="B53" s="74" t="str">
        <f t="shared" si="21"/>
        <v>내수</v>
      </c>
      <c r="C53" s="75" t="str">
        <f t="shared" si="21"/>
        <v>Korea</v>
      </c>
      <c r="D53" s="264">
        <f t="shared" si="22"/>
        <v>0.19346932423845525</v>
      </c>
      <c r="E53" s="265">
        <f t="shared" si="22"/>
        <v>0.18107919888574037</v>
      </c>
      <c r="F53" s="265">
        <f t="shared" si="22"/>
        <v>0.18999771087095335</v>
      </c>
      <c r="G53" s="266">
        <f t="shared" si="22"/>
        <v>0.14336633663366338</v>
      </c>
      <c r="H53" s="267">
        <f t="shared" si="22"/>
        <v>0.17114244089339592</v>
      </c>
      <c r="I53" s="774">
        <f t="shared" si="25"/>
        <v>2.7776104259732537E-2</v>
      </c>
      <c r="J53" s="775">
        <f t="shared" si="26"/>
        <v>-2.2326883345059334E-2</v>
      </c>
      <c r="K53" s="267">
        <f t="shared" si="27"/>
        <v>0.12137495735243944</v>
      </c>
      <c r="L53" s="774">
        <f t="shared" si="28"/>
        <v>-4.9767483540956475E-2</v>
      </c>
      <c r="M53" s="775">
        <f t="shared" si="29"/>
        <v>-5.9704241533300922E-2</v>
      </c>
      <c r="N53" s="267" t="str">
        <f t="shared" si="23"/>
        <v/>
      </c>
      <c r="O53" s="774"/>
      <c r="P53" s="775"/>
      <c r="Q53" s="267" t="str">
        <f t="shared" si="24"/>
        <v/>
      </c>
      <c r="R53" s="774"/>
      <c r="S53" s="775"/>
      <c r="T53" s="41"/>
    </row>
    <row r="54" spans="1:20" s="14" customFormat="1" ht="13.2">
      <c r="A54" s="142"/>
      <c r="B54" s="67" t="str">
        <f t="shared" ref="B54:B62" si="30">B34</f>
        <v>Homecare</v>
      </c>
      <c r="C54" s="68" t="s">
        <v>278</v>
      </c>
      <c r="D54" s="87">
        <f t="shared" si="22"/>
        <v>1.068561721110578E-2</v>
      </c>
      <c r="E54" s="88">
        <f t="shared" si="22"/>
        <v>2.8528889102348593E-2</v>
      </c>
      <c r="F54" s="88">
        <f t="shared" si="22"/>
        <v>3.0132167082324305E-2</v>
      </c>
      <c r="G54" s="89">
        <f t="shared" si="22"/>
        <v>1.714744447417715E-2</v>
      </c>
      <c r="H54" s="90">
        <f t="shared" si="22"/>
        <v>2.3677055969164768E-2</v>
      </c>
      <c r="I54" s="772">
        <f t="shared" si="25"/>
        <v>6.529611494987618E-3</v>
      </c>
      <c r="J54" s="773">
        <f t="shared" si="26"/>
        <v>1.2991438758058988E-2</v>
      </c>
      <c r="K54" s="90">
        <f t="shared" si="27"/>
        <v>1.7864589256605633E-2</v>
      </c>
      <c r="L54" s="772">
        <f t="shared" si="28"/>
        <v>-5.8124667125591355E-3</v>
      </c>
      <c r="M54" s="773">
        <f t="shared" si="29"/>
        <v>-1.066429984574296E-2</v>
      </c>
      <c r="N54" s="90" t="str">
        <f t="shared" si="23"/>
        <v/>
      </c>
      <c r="O54" s="772"/>
      <c r="P54" s="773"/>
      <c r="Q54" s="90" t="str">
        <f t="shared" si="24"/>
        <v/>
      </c>
      <c r="R54" s="772"/>
      <c r="S54" s="773"/>
      <c r="T54" s="41"/>
    </row>
    <row r="55" spans="1:20" s="91" customFormat="1" ht="16.2" customHeight="1">
      <c r="A55" s="145"/>
      <c r="B55" s="74" t="str">
        <f t="shared" si="30"/>
        <v>수출</v>
      </c>
      <c r="C55" s="75" t="str">
        <f t="shared" ref="C55:C62" si="31">C35</f>
        <v>Global</v>
      </c>
      <c r="D55" s="264">
        <f t="shared" si="22"/>
        <v>7.2880059133998169E-3</v>
      </c>
      <c r="E55" s="265">
        <f t="shared" si="22"/>
        <v>4.910907257096201E-3</v>
      </c>
      <c r="F55" s="265">
        <f t="shared" si="22"/>
        <v>1.4096215708244478E-3</v>
      </c>
      <c r="G55" s="266">
        <f t="shared" si="22"/>
        <v>8.5630184640085637E-4</v>
      </c>
      <c r="H55" s="267">
        <f t="shared" si="22"/>
        <v>1.9960308811214481E-3</v>
      </c>
      <c r="I55" s="774">
        <f t="shared" si="25"/>
        <v>1.1397290347205918E-3</v>
      </c>
      <c r="J55" s="775">
        <f t="shared" si="26"/>
        <v>-5.2919750322783683E-3</v>
      </c>
      <c r="K55" s="267">
        <f t="shared" si="27"/>
        <v>1.3647219379051517E-3</v>
      </c>
      <c r="L55" s="774">
        <f t="shared" si="28"/>
        <v>-6.3130894321629643E-4</v>
      </c>
      <c r="M55" s="775">
        <f t="shared" si="29"/>
        <v>-3.5461853191910493E-3</v>
      </c>
      <c r="N55" s="267" t="str">
        <f t="shared" si="23"/>
        <v/>
      </c>
      <c r="O55" s="774"/>
      <c r="P55" s="775"/>
      <c r="Q55" s="267" t="str">
        <f t="shared" si="24"/>
        <v/>
      </c>
      <c r="R55" s="774"/>
      <c r="S55" s="775"/>
      <c r="T55" s="41"/>
    </row>
    <row r="56" spans="1:20" s="91" customFormat="1" ht="16.2" customHeight="1">
      <c r="A56" s="145"/>
      <c r="B56" s="74" t="str">
        <f t="shared" si="30"/>
        <v>내수</v>
      </c>
      <c r="C56" s="75" t="str">
        <f t="shared" si="31"/>
        <v>Korea</v>
      </c>
      <c r="D56" s="264">
        <f t="shared" si="22"/>
        <v>3.3976112977059641E-3</v>
      </c>
      <c r="E56" s="265">
        <f t="shared" si="22"/>
        <v>2.3617981845252392E-2</v>
      </c>
      <c r="F56" s="265">
        <f t="shared" si="22"/>
        <v>2.8722545511499858E-2</v>
      </c>
      <c r="G56" s="266">
        <f t="shared" si="22"/>
        <v>1.6291142627776291E-2</v>
      </c>
      <c r="H56" s="267">
        <f t="shared" si="22"/>
        <v>2.1681025088043319E-2</v>
      </c>
      <c r="I56" s="774">
        <f t="shared" si="25"/>
        <v>5.389882460267028E-3</v>
      </c>
      <c r="J56" s="775">
        <f t="shared" si="26"/>
        <v>1.8283413790337356E-2</v>
      </c>
      <c r="K56" s="267">
        <f t="shared" si="27"/>
        <v>1.6499867318700481E-2</v>
      </c>
      <c r="L56" s="774">
        <f t="shared" si="28"/>
        <v>-5.1811577693428382E-3</v>
      </c>
      <c r="M56" s="775">
        <f t="shared" si="29"/>
        <v>-7.1181145265519115E-3</v>
      </c>
      <c r="N56" s="267" t="str">
        <f t="shared" si="23"/>
        <v/>
      </c>
      <c r="O56" s="774"/>
      <c r="P56" s="775"/>
      <c r="Q56" s="267" t="str">
        <f t="shared" si="24"/>
        <v/>
      </c>
      <c r="R56" s="774"/>
      <c r="S56" s="775"/>
      <c r="T56" s="41"/>
    </row>
    <row r="57" spans="1:20" s="14" customFormat="1" ht="16.2" customHeight="1" thickBot="1">
      <c r="A57" s="142"/>
      <c r="B57" s="67" t="str">
        <f t="shared" si="30"/>
        <v>임대료</v>
      </c>
      <c r="C57" s="68" t="str">
        <f t="shared" si="31"/>
        <v>Rentals</v>
      </c>
      <c r="D57" s="87">
        <f t="shared" si="22"/>
        <v>3.06044376434583E-3</v>
      </c>
      <c r="E57" s="88">
        <f t="shared" si="22"/>
        <v>2.521492723692426E-3</v>
      </c>
      <c r="F57" s="88">
        <f t="shared" si="22"/>
        <v>2.9397236177877372E-3</v>
      </c>
      <c r="G57" s="89">
        <f t="shared" si="22"/>
        <v>2.5367942199625367E-3</v>
      </c>
      <c r="H57" s="90">
        <f t="shared" si="22"/>
        <v>1.7207162768288348E-3</v>
      </c>
      <c r="I57" s="772">
        <f t="shared" si="25"/>
        <v>-8.160779431337019E-4</v>
      </c>
      <c r="J57" s="773">
        <f t="shared" si="26"/>
        <v>-1.3397274875169953E-3</v>
      </c>
      <c r="K57" s="90">
        <f t="shared" si="27"/>
        <v>1.1183138102278326E-3</v>
      </c>
      <c r="L57" s="772">
        <f t="shared" si="28"/>
        <v>-6.0240246660100212E-4</v>
      </c>
      <c r="M57" s="773">
        <f t="shared" si="29"/>
        <v>-1.4031789134645934E-3</v>
      </c>
      <c r="N57" s="90" t="str">
        <f t="shared" si="23"/>
        <v/>
      </c>
      <c r="O57" s="772"/>
      <c r="P57" s="773"/>
      <c r="Q57" s="90" t="str">
        <f t="shared" si="24"/>
        <v/>
      </c>
      <c r="R57" s="772"/>
      <c r="S57" s="773"/>
      <c r="T57" s="41"/>
    </row>
    <row r="58" spans="1:20" s="139" customFormat="1" ht="16.2" customHeight="1" thickBot="1">
      <c r="A58" s="146"/>
      <c r="B58" s="872" t="str">
        <f t="shared" si="30"/>
        <v>기존 사업 기준</v>
      </c>
      <c r="C58" s="873" t="str">
        <f t="shared" si="31"/>
        <v>Total</v>
      </c>
      <c r="D58" s="874">
        <f t="shared" si="22"/>
        <v>1</v>
      </c>
      <c r="E58" s="875">
        <f t="shared" si="22"/>
        <v>1</v>
      </c>
      <c r="F58" s="875">
        <f t="shared" si="22"/>
        <v>1</v>
      </c>
      <c r="G58" s="876">
        <f t="shared" si="22"/>
        <v>1</v>
      </c>
      <c r="H58" s="877">
        <f t="shared" si="22"/>
        <v>0.97935140467805404</v>
      </c>
      <c r="I58" s="878">
        <f t="shared" si="25"/>
        <v>-2.0648595321945962E-2</v>
      </c>
      <c r="J58" s="879">
        <f t="shared" si="26"/>
        <v>-2.0648595321945962E-2</v>
      </c>
      <c r="K58" s="877">
        <f t="shared" si="27"/>
        <v>0.85731073960347248</v>
      </c>
      <c r="L58" s="878">
        <f t="shared" si="28"/>
        <v>-0.12204066507458156</v>
      </c>
      <c r="M58" s="879">
        <f t="shared" si="29"/>
        <v>-0.14268926039652752</v>
      </c>
      <c r="N58" s="877" t="str">
        <f t="shared" si="23"/>
        <v/>
      </c>
      <c r="O58" s="878"/>
      <c r="P58" s="879"/>
      <c r="Q58" s="877" t="str">
        <f t="shared" si="24"/>
        <v/>
      </c>
      <c r="R58" s="878"/>
      <c r="S58" s="879"/>
      <c r="T58" s="41"/>
    </row>
    <row r="59" spans="1:20" s="80" customFormat="1" ht="16.2" customHeight="1">
      <c r="A59" s="141"/>
      <c r="B59" s="880" t="str">
        <f t="shared" si="30"/>
        <v>수출</v>
      </c>
      <c r="C59" s="881" t="str">
        <f t="shared" si="31"/>
        <v>Global</v>
      </c>
      <c r="D59" s="884">
        <f t="shared" si="22"/>
        <v>0.68124700115415038</v>
      </c>
      <c r="E59" s="885">
        <f t="shared" si="22"/>
        <v>0.64113154987752752</v>
      </c>
      <c r="F59" s="885">
        <f t="shared" si="22"/>
        <v>0.63847423525017766</v>
      </c>
      <c r="G59" s="886">
        <f t="shared" si="22"/>
        <v>0.70375167246454384</v>
      </c>
      <c r="H59" s="887">
        <f t="shared" si="22"/>
        <v>0.70953162102944722</v>
      </c>
      <c r="I59" s="888">
        <f t="shared" si="25"/>
        <v>5.779948564903381E-3</v>
      </c>
      <c r="J59" s="889">
        <f t="shared" si="26"/>
        <v>2.8284619875296846E-2</v>
      </c>
      <c r="K59" s="887">
        <f t="shared" si="27"/>
        <v>0.64581674817089352</v>
      </c>
      <c r="L59" s="888">
        <f t="shared" si="28"/>
        <v>-6.3714872858553706E-2</v>
      </c>
      <c r="M59" s="889">
        <f t="shared" si="29"/>
        <v>4.6851982933659997E-3</v>
      </c>
      <c r="N59" s="887" t="str">
        <f t="shared" si="23"/>
        <v/>
      </c>
      <c r="O59" s="888"/>
      <c r="P59" s="889"/>
      <c r="Q59" s="887" t="str">
        <f t="shared" si="24"/>
        <v/>
      </c>
      <c r="R59" s="888"/>
      <c r="S59" s="889"/>
      <c r="T59" s="41"/>
    </row>
    <row r="60" spans="1:20" ht="16.2" customHeight="1" thickBot="1">
      <c r="B60" s="880" t="str">
        <f t="shared" si="30"/>
        <v>내수</v>
      </c>
      <c r="C60" s="881" t="str">
        <f t="shared" si="31"/>
        <v>Korea</v>
      </c>
      <c r="D60" s="884">
        <f t="shared" si="22"/>
        <v>0.31875299884584962</v>
      </c>
      <c r="E60" s="885">
        <f t="shared" si="22"/>
        <v>0.35886845012247254</v>
      </c>
      <c r="F60" s="885">
        <f t="shared" si="22"/>
        <v>0.36152576474982223</v>
      </c>
      <c r="G60" s="886">
        <f t="shared" si="22"/>
        <v>0.29624832753545621</v>
      </c>
      <c r="H60" s="887">
        <f t="shared" si="22"/>
        <v>0.26981978364860681</v>
      </c>
      <c r="I60" s="888">
        <f t="shared" si="25"/>
        <v>-2.6428543886849398E-2</v>
      </c>
      <c r="J60" s="889">
        <f t="shared" si="26"/>
        <v>-4.8933215197242808E-2</v>
      </c>
      <c r="K60" s="887">
        <f t="shared" si="27"/>
        <v>0.21149399143257894</v>
      </c>
      <c r="L60" s="888">
        <f t="shared" si="28"/>
        <v>-5.8325792216027877E-2</v>
      </c>
      <c r="M60" s="889">
        <f t="shared" si="29"/>
        <v>-0.1473744586898936</v>
      </c>
      <c r="N60" s="887" t="str">
        <f t="shared" si="23"/>
        <v/>
      </c>
      <c r="O60" s="888"/>
      <c r="P60" s="889"/>
      <c r="Q60" s="887" t="str">
        <f t="shared" si="24"/>
        <v/>
      </c>
      <c r="R60" s="888"/>
      <c r="S60" s="889"/>
      <c r="T60" s="41"/>
    </row>
    <row r="61" spans="1:20" s="900" customFormat="1" ht="16.2" customHeight="1" thickBot="1">
      <c r="A61" s="898"/>
      <c r="B61" s="864" t="str">
        <f t="shared" si="30"/>
        <v>남미 연결 편입 효과</v>
      </c>
      <c r="C61" s="865" t="str">
        <f t="shared" si="31"/>
        <v>Consolidation Adjustments</v>
      </c>
      <c r="D61" s="866">
        <f t="shared" si="22"/>
        <v>0</v>
      </c>
      <c r="E61" s="867">
        <f t="shared" si="22"/>
        <v>0</v>
      </c>
      <c r="F61" s="868">
        <f t="shared" si="22"/>
        <v>0</v>
      </c>
      <c r="G61" s="868">
        <f t="shared" si="22"/>
        <v>0</v>
      </c>
      <c r="H61" s="869">
        <f t="shared" si="22"/>
        <v>2.0648595321946017E-2</v>
      </c>
      <c r="I61" s="870">
        <f t="shared" si="25"/>
        <v>2.0648595321946017E-2</v>
      </c>
      <c r="J61" s="871">
        <f t="shared" si="26"/>
        <v>2.0648595321946017E-2</v>
      </c>
      <c r="K61" s="869">
        <f t="shared" si="27"/>
        <v>0.14268926039652752</v>
      </c>
      <c r="L61" s="870">
        <f t="shared" si="28"/>
        <v>0.1220406650745815</v>
      </c>
      <c r="M61" s="871">
        <f t="shared" si="29"/>
        <v>0.14268926039652752</v>
      </c>
      <c r="N61" s="869" t="str">
        <f t="shared" si="23"/>
        <v/>
      </c>
      <c r="O61" s="870"/>
      <c r="P61" s="871"/>
      <c r="Q61" s="869" t="str">
        <f t="shared" si="24"/>
        <v/>
      </c>
      <c r="R61" s="870"/>
      <c r="S61" s="871"/>
      <c r="T61" s="899"/>
    </row>
    <row r="62" spans="1:20" s="131" customFormat="1" ht="16.2" customHeight="1" thickBot="1">
      <c r="A62" s="147"/>
      <c r="B62" s="132" t="str">
        <f t="shared" si="30"/>
        <v>브라질</v>
      </c>
      <c r="C62" s="133" t="str">
        <f t="shared" si="31"/>
        <v>Brazil</v>
      </c>
      <c r="D62" s="413">
        <f>IFERROR(D42/D$38,"")</f>
        <v>0.15313890005576231</v>
      </c>
      <c r="E62" s="414">
        <f>IFERROR(E42/E$38,"")</f>
        <v>5.459632102204505E-2</v>
      </c>
      <c r="F62" s="706" t="s">
        <v>353</v>
      </c>
      <c r="G62" s="706" t="s">
        <v>353</v>
      </c>
      <c r="H62" s="707" t="s">
        <v>353</v>
      </c>
      <c r="I62" s="271"/>
      <c r="J62" s="272"/>
      <c r="K62" s="554" t="str">
        <f t="shared" ref="K62" si="32">IFERROR(K42/K$38,"")</f>
        <v/>
      </c>
      <c r="L62" s="271"/>
      <c r="M62" s="272"/>
      <c r="N62" s="554" t="str">
        <f t="shared" si="23"/>
        <v/>
      </c>
      <c r="O62" s="271"/>
      <c r="P62" s="272"/>
      <c r="Q62" s="554" t="str">
        <f t="shared" si="24"/>
        <v/>
      </c>
      <c r="R62" s="271"/>
      <c r="S62" s="273"/>
      <c r="T62" s="41"/>
    </row>
    <row r="63" spans="1:20" ht="16.2" customHeight="1">
      <c r="C63" s="579"/>
      <c r="T63" s="41"/>
    </row>
    <row r="64" spans="1:20" ht="16.2" customHeight="1">
      <c r="B64" s="557" t="s">
        <v>403</v>
      </c>
      <c r="C64" s="558" t="s">
        <v>405</v>
      </c>
      <c r="D64" s="563" t="str">
        <f>D26</f>
        <v>1Q25</v>
      </c>
      <c r="E64" s="563" t="str">
        <f>E26</f>
        <v>2Q25</v>
      </c>
      <c r="F64" s="563" t="str">
        <f>F26</f>
        <v>3Q25</v>
      </c>
      <c r="G64" s="563" t="str">
        <f>G26</f>
        <v>4Q25</v>
      </c>
      <c r="H64" s="563" t="str">
        <f>H26</f>
        <v>1Q26</v>
      </c>
      <c r="I64" s="559" t="s">
        <v>1</v>
      </c>
      <c r="J64" s="560" t="s">
        <v>0</v>
      </c>
      <c r="K64" s="563" t="str">
        <f>K26</f>
        <v>2Q26</v>
      </c>
      <c r="L64" s="559" t="s">
        <v>1</v>
      </c>
      <c r="M64" s="560" t="s">
        <v>0</v>
      </c>
      <c r="N64" s="563" t="str">
        <f>N26</f>
        <v>3Q26</v>
      </c>
      <c r="O64" s="559" t="s">
        <v>1</v>
      </c>
      <c r="P64" s="560" t="s">
        <v>0</v>
      </c>
      <c r="Q64" s="563" t="str">
        <f>Q26</f>
        <v>4Q26</v>
      </c>
      <c r="R64" s="559" t="str">
        <f>R26</f>
        <v>QoQ</v>
      </c>
      <c r="S64" s="560" t="str">
        <f>S26</f>
        <v>YoY</v>
      </c>
      <c r="T64" s="41"/>
    </row>
    <row r="65" spans="1:20" s="3" customFormat="1" ht="16.2" customHeight="1">
      <c r="A65" s="141"/>
      <c r="B65" s="592" t="s">
        <v>416</v>
      </c>
      <c r="C65" s="593" t="s">
        <v>59</v>
      </c>
      <c r="D65" s="594">
        <f>D13*1000</f>
        <v>2136</v>
      </c>
      <c r="E65" s="594">
        <f>E13*1000</f>
        <v>1018.9999999999999</v>
      </c>
      <c r="F65" s="594">
        <f>F13*1000</f>
        <v>2245.7049999999999</v>
      </c>
      <c r="G65" s="595">
        <f>G13*1000</f>
        <v>4670</v>
      </c>
      <c r="H65" s="594">
        <f>H13*1000</f>
        <v>10219</v>
      </c>
      <c r="I65" s="596">
        <f>IFERROR((H65/G65-1),0)</f>
        <v>1.188222698072805</v>
      </c>
      <c r="J65" s="597">
        <f>IFERROR((H65/D65-1),0)</f>
        <v>3.7841760299625467</v>
      </c>
      <c r="K65" s="594">
        <f>K13*1000</f>
        <v>5351</v>
      </c>
      <c r="L65" s="596">
        <f>IFERROR((K65-H65)/H65,)</f>
        <v>-0.47636755064096292</v>
      </c>
      <c r="M65" s="597">
        <f>IFERROR((K65-E65)/E65,)</f>
        <v>4.2512266928361147</v>
      </c>
      <c r="N65" s="594">
        <f>N13*1000</f>
        <v>0</v>
      </c>
      <c r="O65" s="598">
        <f>IFERROR((N65-K65)/K65,)</f>
        <v>-1</v>
      </c>
      <c r="P65" s="599">
        <f>IFERROR((N65-F65)/F65,)</f>
        <v>-1</v>
      </c>
      <c r="Q65" s="594">
        <f>Q13*1000</f>
        <v>0</v>
      </c>
      <c r="R65" s="598">
        <f>IFERROR((Q65-N65)/N65,)</f>
        <v>0</v>
      </c>
      <c r="S65" s="599">
        <f>IFERROR((Q65-G65)/G65,)</f>
        <v>-1</v>
      </c>
      <c r="T65" s="41"/>
    </row>
    <row r="66" spans="1:20" s="3" customFormat="1" ht="16.2" customHeight="1">
      <c r="A66" s="141"/>
      <c r="B66" s="555" t="s">
        <v>360</v>
      </c>
      <c r="C66" s="568" t="s">
        <v>377</v>
      </c>
      <c r="D66" s="521">
        <v>1327</v>
      </c>
      <c r="E66" s="521">
        <v>1212</v>
      </c>
      <c r="F66" s="521">
        <v>1284</v>
      </c>
      <c r="G66" s="521">
        <v>1539.6669999999999</v>
      </c>
      <c r="H66" s="521">
        <v>2047.511</v>
      </c>
      <c r="I66" s="584">
        <f t="shared" ref="I66:I89" si="33">IFERROR((H66/G66-1),0)</f>
        <v>0.32984015374753128</v>
      </c>
      <c r="J66" s="585">
        <f t="shared" ref="J66:J89" si="34">IFERROR((H66/D66-1),0)</f>
        <v>0.54296232102486819</v>
      </c>
      <c r="K66" s="521">
        <v>527.46799999999996</v>
      </c>
      <c r="L66" s="584">
        <f t="shared" ref="L66:L89" si="35">IFERROR((K66-H66)/H66,)</f>
        <v>-0.74238575519252403</v>
      </c>
      <c r="M66" s="585">
        <f t="shared" ref="M66:M89" si="36">IFERROR((K66-E66)/E66,)</f>
        <v>-0.56479537953795378</v>
      </c>
      <c r="N66" s="521">
        <v>0</v>
      </c>
      <c r="O66" s="241">
        <f t="shared" ref="O66:O79" si="37">IFERROR((N66-K66)/K66,)</f>
        <v>-1</v>
      </c>
      <c r="P66" s="338">
        <f t="shared" ref="P66:P79" si="38">IFERROR((N66-F66)/F66,)</f>
        <v>-1</v>
      </c>
      <c r="Q66" s="521">
        <v>0</v>
      </c>
      <c r="R66" s="241">
        <f t="shared" ref="R66:R70" si="39">IFERROR((Q66-N66)/N66,)</f>
        <v>0</v>
      </c>
      <c r="S66" s="338">
        <f t="shared" ref="S66:S70" si="40">IFERROR((Q66-G66)/G66,)</f>
        <v>-1</v>
      </c>
      <c r="T66" s="41"/>
    </row>
    <row r="67" spans="1:20" s="3" customFormat="1" ht="16.2" customHeight="1">
      <c r="A67" s="141"/>
      <c r="B67" s="555" t="s">
        <v>361</v>
      </c>
      <c r="C67" s="568" t="s">
        <v>378</v>
      </c>
      <c r="D67" s="521">
        <v>0</v>
      </c>
      <c r="E67" s="521">
        <v>0</v>
      </c>
      <c r="F67" s="521">
        <v>0</v>
      </c>
      <c r="G67" s="521">
        <v>2272.5790000000002</v>
      </c>
      <c r="H67" s="521">
        <v>7.9320000000000004</v>
      </c>
      <c r="I67" s="584">
        <f t="shared" si="33"/>
        <v>-0.99650969229232511</v>
      </c>
      <c r="J67" s="585">
        <f t="shared" si="34"/>
        <v>0</v>
      </c>
      <c r="K67" s="521">
        <v>429.48</v>
      </c>
      <c r="L67" s="584">
        <f t="shared" si="35"/>
        <v>53.145234493192127</v>
      </c>
      <c r="M67" s="585">
        <f t="shared" si="36"/>
        <v>0</v>
      </c>
      <c r="N67" s="521">
        <v>0</v>
      </c>
      <c r="O67" s="241">
        <f t="shared" si="37"/>
        <v>-1</v>
      </c>
      <c r="P67" s="338">
        <f t="shared" si="38"/>
        <v>0</v>
      </c>
      <c r="Q67" s="521">
        <v>0</v>
      </c>
      <c r="R67" s="241">
        <f t="shared" si="39"/>
        <v>0</v>
      </c>
      <c r="S67" s="338">
        <f t="shared" si="40"/>
        <v>-1</v>
      </c>
    </row>
    <row r="68" spans="1:20" s="3" customFormat="1" ht="16.2" customHeight="1">
      <c r="A68" s="141"/>
      <c r="B68" s="555" t="s">
        <v>362</v>
      </c>
      <c r="C68" s="568" t="s">
        <v>380</v>
      </c>
      <c r="D68" s="521">
        <v>362</v>
      </c>
      <c r="E68" s="521">
        <v>155</v>
      </c>
      <c r="F68" s="521">
        <v>560</v>
      </c>
      <c r="G68" s="521">
        <v>1053.8130000000001</v>
      </c>
      <c r="H68" s="521">
        <v>2355.7739999999999</v>
      </c>
      <c r="I68" s="584">
        <f t="shared" si="33"/>
        <v>1.2354763131599245</v>
      </c>
      <c r="J68" s="585">
        <f t="shared" si="34"/>
        <v>5.5076629834254138</v>
      </c>
      <c r="K68" s="521">
        <v>2398.4989999999998</v>
      </c>
      <c r="L68" s="584">
        <f t="shared" si="35"/>
        <v>1.8136289813878544E-2</v>
      </c>
      <c r="M68" s="585">
        <f t="shared" si="36"/>
        <v>14.474187096774193</v>
      </c>
      <c r="N68" s="521">
        <v>0</v>
      </c>
      <c r="O68" s="241">
        <f t="shared" si="37"/>
        <v>-1</v>
      </c>
      <c r="P68" s="338">
        <f t="shared" si="38"/>
        <v>-1</v>
      </c>
      <c r="Q68" s="521">
        <v>0</v>
      </c>
      <c r="R68" s="241">
        <f t="shared" si="39"/>
        <v>0</v>
      </c>
      <c r="S68" s="338">
        <f t="shared" si="40"/>
        <v>-1</v>
      </c>
    </row>
    <row r="69" spans="1:20" s="3" customFormat="1" ht="16.2" customHeight="1">
      <c r="A69" s="141"/>
      <c r="B69" s="555" t="s">
        <v>363</v>
      </c>
      <c r="C69" s="568" t="s">
        <v>379</v>
      </c>
      <c r="D69" s="606">
        <v>447</v>
      </c>
      <c r="E69" s="606">
        <v>-348</v>
      </c>
      <c r="F69" s="606">
        <v>402</v>
      </c>
      <c r="G69" s="606">
        <v>-203.75700000000001</v>
      </c>
      <c r="H69" s="606">
        <v>5807.6450000000004</v>
      </c>
      <c r="I69" s="604">
        <f t="shared" si="33"/>
        <v>-29.502799903806988</v>
      </c>
      <c r="J69" s="605">
        <f t="shared" si="34"/>
        <v>11.992494407158837</v>
      </c>
      <c r="K69" s="606">
        <v>1995.932</v>
      </c>
      <c r="L69" s="604">
        <f t="shared" si="35"/>
        <v>-0.65632678994669957</v>
      </c>
      <c r="M69" s="605">
        <f t="shared" si="36"/>
        <v>-6.7354367816091951</v>
      </c>
      <c r="N69" s="606">
        <v>0</v>
      </c>
      <c r="O69" s="241">
        <f t="shared" si="37"/>
        <v>-1</v>
      </c>
      <c r="P69" s="338">
        <f t="shared" si="38"/>
        <v>-1</v>
      </c>
      <c r="Q69" s="606">
        <v>0</v>
      </c>
      <c r="R69" s="241">
        <f t="shared" si="39"/>
        <v>0</v>
      </c>
      <c r="S69" s="338">
        <f t="shared" si="40"/>
        <v>-1</v>
      </c>
    </row>
    <row r="70" spans="1:20" s="3" customFormat="1" ht="16.2" customHeight="1">
      <c r="A70" s="141"/>
      <c r="B70" s="556" t="s">
        <v>458</v>
      </c>
      <c r="C70" s="575" t="s">
        <v>459</v>
      </c>
      <c r="D70" s="588">
        <v>0</v>
      </c>
      <c r="E70" s="588">
        <v>0</v>
      </c>
      <c r="F70" s="588">
        <v>0</v>
      </c>
      <c r="G70" s="588">
        <v>7.0590000000000002</v>
      </c>
      <c r="H70" s="588">
        <v>0</v>
      </c>
      <c r="I70" s="590">
        <f t="shared" si="33"/>
        <v>-1</v>
      </c>
      <c r="J70" s="591">
        <f t="shared" si="34"/>
        <v>0</v>
      </c>
      <c r="K70" s="588">
        <v>0</v>
      </c>
      <c r="L70" s="590">
        <f t="shared" si="35"/>
        <v>0</v>
      </c>
      <c r="M70" s="591">
        <f t="shared" si="36"/>
        <v>0</v>
      </c>
      <c r="N70" s="588">
        <v>0</v>
      </c>
      <c r="O70" s="566">
        <f t="shared" si="37"/>
        <v>0</v>
      </c>
      <c r="P70" s="567">
        <f t="shared" si="38"/>
        <v>0</v>
      </c>
      <c r="Q70" s="588">
        <v>0</v>
      </c>
      <c r="R70" s="566">
        <f t="shared" si="39"/>
        <v>0</v>
      </c>
      <c r="S70" s="567">
        <f t="shared" si="40"/>
        <v>-1</v>
      </c>
    </row>
    <row r="71" spans="1:20" s="3" customFormat="1" ht="16.2" customHeight="1">
      <c r="A71" s="141"/>
      <c r="B71" s="679" t="s">
        <v>417</v>
      </c>
      <c r="C71" s="627" t="s">
        <v>60</v>
      </c>
      <c r="D71" s="600">
        <f>D14*1000</f>
        <v>-1411</v>
      </c>
      <c r="E71" s="600">
        <f>E14*1000</f>
        <v>-11505</v>
      </c>
      <c r="F71" s="600">
        <f>F14*1000</f>
        <v>2974.0050000000001</v>
      </c>
      <c r="G71" s="680">
        <f>G14*1000</f>
        <v>-929</v>
      </c>
      <c r="H71" s="600">
        <f>H14*1000</f>
        <v>-2424</v>
      </c>
      <c r="I71" s="681">
        <f t="shared" si="33"/>
        <v>1.6092572658772872</v>
      </c>
      <c r="J71" s="682">
        <f t="shared" si="34"/>
        <v>0.71793054571226089</v>
      </c>
      <c r="K71" s="600">
        <f>K14*1000</f>
        <v>-12005</v>
      </c>
      <c r="L71" s="681">
        <f t="shared" si="35"/>
        <v>3.9525577557755778</v>
      </c>
      <c r="M71" s="682">
        <f t="shared" si="36"/>
        <v>4.3459365493263798E-2</v>
      </c>
      <c r="N71" s="600">
        <f>N14*1000</f>
        <v>0</v>
      </c>
      <c r="O71" s="598">
        <f t="shared" si="37"/>
        <v>-1</v>
      </c>
      <c r="P71" s="599">
        <f t="shared" si="38"/>
        <v>-1</v>
      </c>
      <c r="Q71" s="600">
        <f>+SUM(Q72:Q78)</f>
        <v>0</v>
      </c>
      <c r="R71" s="598">
        <f>IFERROR((Q71-N71)/N71,)</f>
        <v>0</v>
      </c>
      <c r="S71" s="599">
        <f>IFERROR((Q71-G71)/G71,)</f>
        <v>-1</v>
      </c>
    </row>
    <row r="72" spans="1:20" s="3" customFormat="1" ht="16.2" customHeight="1">
      <c r="A72" s="141"/>
      <c r="B72" s="555" t="s">
        <v>364</v>
      </c>
      <c r="C72" s="568" t="s">
        <v>381</v>
      </c>
      <c r="D72" s="521">
        <v>-683</v>
      </c>
      <c r="E72" s="521">
        <v>-575</v>
      </c>
      <c r="F72" s="521">
        <v>-553.62900000000002</v>
      </c>
      <c r="G72" s="521">
        <v>-609.029</v>
      </c>
      <c r="H72" s="521">
        <v>-1552.797</v>
      </c>
      <c r="I72" s="584">
        <f t="shared" si="33"/>
        <v>1.5496273576463517</v>
      </c>
      <c r="J72" s="585">
        <f t="shared" si="34"/>
        <v>1.2734948755490483</v>
      </c>
      <c r="K72" s="521">
        <v>2999.1770000000001</v>
      </c>
      <c r="L72" s="584">
        <f t="shared" si="35"/>
        <v>-2.9314675388991609</v>
      </c>
      <c r="M72" s="585">
        <f t="shared" si="36"/>
        <v>-6.2159599999999999</v>
      </c>
      <c r="N72" s="521">
        <v>0</v>
      </c>
      <c r="O72" s="241">
        <f t="shared" si="37"/>
        <v>-1</v>
      </c>
      <c r="P72" s="338">
        <f t="shared" si="38"/>
        <v>-1</v>
      </c>
      <c r="Q72" s="521">
        <v>0</v>
      </c>
      <c r="R72" s="241">
        <f t="shared" ref="R72:R75" si="41">IFERROR((Q72-N72)/N72,)</f>
        <v>0</v>
      </c>
      <c r="S72" s="338">
        <f t="shared" ref="S72:S75" si="42">IFERROR((Q72-G72)/G72,)</f>
        <v>-1</v>
      </c>
    </row>
    <row r="73" spans="1:20" s="3" customFormat="1" ht="16.2" customHeight="1">
      <c r="A73" s="141"/>
      <c r="B73" s="555" t="s">
        <v>365</v>
      </c>
      <c r="C73" s="568" t="s">
        <v>382</v>
      </c>
      <c r="D73" s="521">
        <v>-102</v>
      </c>
      <c r="E73" s="521">
        <v>-107</v>
      </c>
      <c r="F73" s="521">
        <v>-65.641999999999996</v>
      </c>
      <c r="G73" s="521">
        <f>-134.8511+102.6</f>
        <v>-32.251100000000008</v>
      </c>
      <c r="H73" s="521">
        <v>-20.253</v>
      </c>
      <c r="I73" s="604">
        <f t="shared" si="33"/>
        <v>-0.37202141942445388</v>
      </c>
      <c r="J73" s="605">
        <f t="shared" si="34"/>
        <v>-0.80144117647058821</v>
      </c>
      <c r="K73" s="521">
        <v>46.16</v>
      </c>
      <c r="L73" s="604">
        <f t="shared" si="35"/>
        <v>-3.2791685182442105</v>
      </c>
      <c r="M73" s="605">
        <f t="shared" si="36"/>
        <v>-1.4314018691588786</v>
      </c>
      <c r="N73" s="521">
        <v>0</v>
      </c>
      <c r="O73" s="241">
        <f t="shared" si="37"/>
        <v>-1</v>
      </c>
      <c r="P73" s="338">
        <f t="shared" si="38"/>
        <v>-1</v>
      </c>
      <c r="Q73" s="521">
        <v>0</v>
      </c>
      <c r="R73" s="241">
        <f t="shared" si="41"/>
        <v>0</v>
      </c>
      <c r="S73" s="338">
        <f t="shared" si="42"/>
        <v>-1</v>
      </c>
    </row>
    <row r="74" spans="1:20" s="3" customFormat="1" ht="16.2" customHeight="1">
      <c r="A74" s="141"/>
      <c r="B74" s="555" t="s">
        <v>366</v>
      </c>
      <c r="C74" s="568" t="s">
        <v>383</v>
      </c>
      <c r="D74" s="521">
        <v>-248</v>
      </c>
      <c r="E74" s="521">
        <v>-1620</v>
      </c>
      <c r="F74" s="521">
        <v>-733.76900000000001</v>
      </c>
      <c r="G74" s="521">
        <v>-558.65425999999979</v>
      </c>
      <c r="H74" s="521">
        <v>-457.35899999999998</v>
      </c>
      <c r="I74" s="604">
        <f t="shared" si="33"/>
        <v>-0.18132012454357704</v>
      </c>
      <c r="J74" s="605">
        <f t="shared" si="34"/>
        <v>0.84418951612903226</v>
      </c>
      <c r="K74" s="521">
        <v>8778.6890000000003</v>
      </c>
      <c r="L74" s="604">
        <f t="shared" si="35"/>
        <v>-20.194306879278642</v>
      </c>
      <c r="M74" s="605">
        <f t="shared" si="36"/>
        <v>-6.4189438271604944</v>
      </c>
      <c r="N74" s="521">
        <v>0</v>
      </c>
      <c r="O74" s="241">
        <f t="shared" si="37"/>
        <v>-1</v>
      </c>
      <c r="P74" s="338">
        <f t="shared" si="38"/>
        <v>-1</v>
      </c>
      <c r="Q74" s="521">
        <v>0</v>
      </c>
      <c r="R74" s="241">
        <f t="shared" si="41"/>
        <v>0</v>
      </c>
      <c r="S74" s="338">
        <f t="shared" si="42"/>
        <v>-1</v>
      </c>
    </row>
    <row r="75" spans="1:20" s="3" customFormat="1" ht="16.2" customHeight="1">
      <c r="A75" s="141"/>
      <c r="B75" s="555" t="s">
        <v>367</v>
      </c>
      <c r="C75" s="568" t="s">
        <v>384</v>
      </c>
      <c r="D75" s="606">
        <v>0</v>
      </c>
      <c r="E75" s="606">
        <v>-362</v>
      </c>
      <c r="F75" s="606">
        <v>0</v>
      </c>
      <c r="G75" s="606">
        <v>-1968.9010819999999</v>
      </c>
      <c r="H75" s="606">
        <v>0</v>
      </c>
      <c r="I75" s="604">
        <f t="shared" si="33"/>
        <v>-1</v>
      </c>
      <c r="J75" s="605">
        <f t="shared" si="34"/>
        <v>0</v>
      </c>
      <c r="K75" s="606">
        <v>0</v>
      </c>
      <c r="L75" s="604">
        <f t="shared" si="35"/>
        <v>0</v>
      </c>
      <c r="M75" s="605">
        <f t="shared" si="36"/>
        <v>-1</v>
      </c>
      <c r="N75" s="606">
        <v>0</v>
      </c>
      <c r="O75" s="241">
        <f t="shared" si="37"/>
        <v>0</v>
      </c>
      <c r="P75" s="338">
        <f t="shared" si="38"/>
        <v>0</v>
      </c>
      <c r="Q75" s="606">
        <v>0</v>
      </c>
      <c r="R75" s="241">
        <f t="shared" si="41"/>
        <v>0</v>
      </c>
      <c r="S75" s="338">
        <f t="shared" si="42"/>
        <v>-1</v>
      </c>
    </row>
    <row r="76" spans="1:20" s="3" customFormat="1" ht="16.2" customHeight="1">
      <c r="A76" s="141"/>
      <c r="B76" s="555" t="s">
        <v>368</v>
      </c>
      <c r="C76" s="568" t="s">
        <v>385</v>
      </c>
      <c r="D76" s="606">
        <v>0</v>
      </c>
      <c r="E76" s="606">
        <v>-2</v>
      </c>
      <c r="F76" s="606">
        <v>0</v>
      </c>
      <c r="G76" s="606">
        <v>-0.12572099999999997</v>
      </c>
      <c r="H76" s="606">
        <v>0</v>
      </c>
      <c r="I76" s="604">
        <f t="shared" si="33"/>
        <v>-1</v>
      </c>
      <c r="J76" s="605">
        <f t="shared" si="34"/>
        <v>0</v>
      </c>
      <c r="K76" s="606">
        <v>10.955</v>
      </c>
      <c r="L76" s="604">
        <f t="shared" si="35"/>
        <v>0</v>
      </c>
      <c r="M76" s="605">
        <f t="shared" si="36"/>
        <v>-6.4775</v>
      </c>
      <c r="N76" s="606">
        <v>0</v>
      </c>
      <c r="O76" s="241">
        <f t="shared" si="37"/>
        <v>-1</v>
      </c>
      <c r="P76" s="338">
        <f t="shared" si="38"/>
        <v>0</v>
      </c>
      <c r="Q76" s="606">
        <v>0</v>
      </c>
      <c r="R76" s="241">
        <f>IFERROR((Q76-N76)/N76,)</f>
        <v>0</v>
      </c>
      <c r="S76" s="338">
        <f>IFERROR((Q76-G76)/G76,)</f>
        <v>-1</v>
      </c>
    </row>
    <row r="77" spans="1:20" s="3" customFormat="1" ht="16.2" customHeight="1">
      <c r="A77" s="141"/>
      <c r="B77" s="555" t="s">
        <v>369</v>
      </c>
      <c r="C77" s="568" t="s">
        <v>386</v>
      </c>
      <c r="D77" s="521">
        <v>-377</v>
      </c>
      <c r="E77" s="521">
        <v>-8839</v>
      </c>
      <c r="F77" s="521">
        <v>4327.0460000000003</v>
      </c>
      <c r="G77" s="521">
        <v>2240.4370140000001</v>
      </c>
      <c r="H77" s="521">
        <v>-374.976</v>
      </c>
      <c r="I77" s="584">
        <f t="shared" si="33"/>
        <v>-1.1673673473777022</v>
      </c>
      <c r="J77" s="585">
        <f t="shared" si="34"/>
        <v>-5.3687002652520466E-3</v>
      </c>
      <c r="K77" s="521">
        <v>45.88</v>
      </c>
      <c r="L77" s="584">
        <f t="shared" si="35"/>
        <v>-1.1223544973544974</v>
      </c>
      <c r="M77" s="585">
        <f t="shared" si="36"/>
        <v>-1.0051906324244824</v>
      </c>
      <c r="N77" s="521">
        <v>0</v>
      </c>
      <c r="O77" s="241">
        <f t="shared" ref="O77" si="43">IFERROR((N77-K77)/K77,)</f>
        <v>-1</v>
      </c>
      <c r="P77" s="338">
        <f t="shared" ref="P77" si="44">IFERROR((N77-F77)/F77,)</f>
        <v>-1</v>
      </c>
      <c r="Q77" s="521">
        <v>0</v>
      </c>
      <c r="R77" s="241">
        <f t="shared" ref="R77" si="45">IFERROR((Q77-N77)/N77,)</f>
        <v>0</v>
      </c>
      <c r="S77" s="338">
        <f t="shared" ref="S77" si="46">IFERROR((Q77-G77)/G77,)</f>
        <v>-1</v>
      </c>
    </row>
    <row r="78" spans="1:20" s="3" customFormat="1" ht="16.2" customHeight="1">
      <c r="A78" s="141"/>
      <c r="B78" s="556" t="s">
        <v>432</v>
      </c>
      <c r="C78" s="575" t="s">
        <v>69</v>
      </c>
      <c r="D78" s="573">
        <v>0.11899999999999999</v>
      </c>
      <c r="E78" s="573">
        <v>-0.20069999999999999</v>
      </c>
      <c r="F78" s="573">
        <v>0</v>
      </c>
      <c r="G78" s="573">
        <v>0</v>
      </c>
      <c r="H78" s="573">
        <v>-18.306000000000001</v>
      </c>
      <c r="I78" s="586">
        <f t="shared" si="33"/>
        <v>0</v>
      </c>
      <c r="J78" s="587">
        <f t="shared" si="34"/>
        <v>-154.83193277310926</v>
      </c>
      <c r="K78" s="573">
        <v>124.178</v>
      </c>
      <c r="L78" s="586">
        <f t="shared" si="35"/>
        <v>-7.7834589751993883</v>
      </c>
      <c r="M78" s="587">
        <f t="shared" si="36"/>
        <v>-619.72446437468864</v>
      </c>
      <c r="N78" s="573">
        <v>0</v>
      </c>
      <c r="O78" s="566">
        <f t="shared" si="37"/>
        <v>-1</v>
      </c>
      <c r="P78" s="567">
        <f t="shared" si="38"/>
        <v>0</v>
      </c>
      <c r="Q78" s="573">
        <v>0</v>
      </c>
      <c r="R78" s="566">
        <f t="shared" ref="R78:R81" si="47">IFERROR((Q78-N78)/N78,)</f>
        <v>0</v>
      </c>
      <c r="S78" s="567">
        <f t="shared" ref="S78:S81" si="48">IFERROR((Q78-G78)/G78,)</f>
        <v>0</v>
      </c>
      <c r="T78" s="8"/>
    </row>
    <row r="79" spans="1:20" s="3" customFormat="1" ht="16.2" customHeight="1">
      <c r="A79" s="141"/>
      <c r="B79" s="592" t="s">
        <v>418</v>
      </c>
      <c r="C79" s="593" t="s">
        <v>61</v>
      </c>
      <c r="D79" s="594">
        <f>D15*1000</f>
        <v>45</v>
      </c>
      <c r="E79" s="594">
        <f>E15*1000</f>
        <v>36</v>
      </c>
      <c r="F79" s="594">
        <f>F15*1000</f>
        <v>54.086000000000006</v>
      </c>
      <c r="G79" s="595">
        <f>G15*1000</f>
        <v>254</v>
      </c>
      <c r="H79" s="594">
        <f>H15*1000</f>
        <v>514</v>
      </c>
      <c r="I79" s="596">
        <f t="shared" si="33"/>
        <v>1.0236220472440944</v>
      </c>
      <c r="J79" s="597">
        <f t="shared" si="34"/>
        <v>10.422222222222222</v>
      </c>
      <c r="K79" s="594">
        <f>K15*1000</f>
        <v>-183</v>
      </c>
      <c r="L79" s="596">
        <f t="shared" si="35"/>
        <v>-1.3560311284046693</v>
      </c>
      <c r="M79" s="597">
        <f t="shared" si="36"/>
        <v>-6.083333333333333</v>
      </c>
      <c r="N79" s="594">
        <f>N15*1000</f>
        <v>0</v>
      </c>
      <c r="O79" s="598">
        <f t="shared" si="37"/>
        <v>-1</v>
      </c>
      <c r="P79" s="599">
        <f t="shared" si="38"/>
        <v>-1</v>
      </c>
      <c r="Q79" s="594">
        <f>Q15*1000</f>
        <v>0</v>
      </c>
      <c r="R79" s="598">
        <f t="shared" si="47"/>
        <v>0</v>
      </c>
      <c r="S79" s="599">
        <f t="shared" si="48"/>
        <v>-1</v>
      </c>
      <c r="T79" s="8"/>
    </row>
    <row r="80" spans="1:20" s="3" customFormat="1" ht="16.2" customHeight="1">
      <c r="A80" s="141"/>
      <c r="B80" s="555" t="s">
        <v>407</v>
      </c>
      <c r="C80" s="568" t="s">
        <v>411</v>
      </c>
      <c r="D80" s="521">
        <v>3.181</v>
      </c>
      <c r="E80" s="521">
        <v>12</v>
      </c>
      <c r="F80" s="521">
        <v>9.9659999999999993</v>
      </c>
      <c r="G80" s="521">
        <v>89.4</v>
      </c>
      <c r="H80" s="521">
        <v>33.777000000000001</v>
      </c>
      <c r="I80" s="604">
        <f t="shared" si="33"/>
        <v>-0.62218120805369126</v>
      </c>
      <c r="J80" s="605">
        <f t="shared" si="34"/>
        <v>9.6183590066016968</v>
      </c>
      <c r="K80" s="521">
        <v>5.68</v>
      </c>
      <c r="L80" s="604">
        <f t="shared" si="35"/>
        <v>-0.83183823311720995</v>
      </c>
      <c r="M80" s="605">
        <f t="shared" si="36"/>
        <v>-0.52666666666666673</v>
      </c>
      <c r="N80" s="521">
        <v>0</v>
      </c>
      <c r="O80" s="241">
        <f t="shared" ref="O80:O89" si="49">IFERROR((N80-K80)/K80,)</f>
        <v>-1</v>
      </c>
      <c r="P80" s="338">
        <f t="shared" ref="P80:P89" si="50">IFERROR((N80-F80)/F80,)</f>
        <v>-1</v>
      </c>
      <c r="Q80" s="521">
        <v>0</v>
      </c>
      <c r="R80" s="241">
        <f t="shared" si="47"/>
        <v>0</v>
      </c>
      <c r="S80" s="338">
        <f t="shared" si="48"/>
        <v>-1</v>
      </c>
      <c r="T80" s="41"/>
    </row>
    <row r="81" spans="1:20" s="3" customFormat="1" ht="16.2" customHeight="1">
      <c r="A81" s="141"/>
      <c r="B81" s="555" t="s">
        <v>408</v>
      </c>
      <c r="C81" s="568" t="s">
        <v>412</v>
      </c>
      <c r="D81" s="521">
        <v>0.5</v>
      </c>
      <c r="E81" s="521">
        <v>0</v>
      </c>
      <c r="F81" s="521">
        <v>0</v>
      </c>
      <c r="G81" s="521">
        <v>0.3</v>
      </c>
      <c r="H81" s="521">
        <v>0.68899999999999995</v>
      </c>
      <c r="I81" s="604">
        <f t="shared" si="33"/>
        <v>1.2966666666666664</v>
      </c>
      <c r="J81" s="605">
        <f t="shared" si="34"/>
        <v>0.37799999999999989</v>
      </c>
      <c r="K81" s="521">
        <v>2E-3</v>
      </c>
      <c r="L81" s="604">
        <f t="shared" si="35"/>
        <v>-0.99709724238026121</v>
      </c>
      <c r="M81" s="605">
        <f t="shared" si="36"/>
        <v>0</v>
      </c>
      <c r="N81" s="521">
        <v>0</v>
      </c>
      <c r="O81" s="241">
        <f t="shared" si="49"/>
        <v>-1</v>
      </c>
      <c r="P81" s="338">
        <f t="shared" si="50"/>
        <v>0</v>
      </c>
      <c r="Q81" s="521">
        <v>0</v>
      </c>
      <c r="R81" s="241">
        <f t="shared" si="47"/>
        <v>0</v>
      </c>
      <c r="S81" s="338">
        <f t="shared" si="48"/>
        <v>-1</v>
      </c>
      <c r="T81" s="8"/>
    </row>
    <row r="82" spans="1:20" s="3" customFormat="1" ht="16.2" customHeight="1">
      <c r="A82" s="141"/>
      <c r="B82" s="555" t="s">
        <v>481</v>
      </c>
      <c r="C82" s="568" t="s">
        <v>482</v>
      </c>
      <c r="D82" s="521">
        <v>0</v>
      </c>
      <c r="E82" s="521">
        <v>0</v>
      </c>
      <c r="F82" s="521">
        <v>0</v>
      </c>
      <c r="G82" s="521">
        <v>0</v>
      </c>
      <c r="H82" s="521">
        <v>452.44400000000002</v>
      </c>
      <c r="I82" s="604">
        <f t="shared" si="33"/>
        <v>0</v>
      </c>
      <c r="J82" s="605">
        <f t="shared" si="34"/>
        <v>0</v>
      </c>
      <c r="K82" s="521">
        <v>-215.15700000000001</v>
      </c>
      <c r="L82" s="604">
        <f t="shared" si="35"/>
        <v>-1.4755439347189927</v>
      </c>
      <c r="M82" s="605">
        <f t="shared" si="36"/>
        <v>0</v>
      </c>
      <c r="N82" s="521">
        <v>0</v>
      </c>
      <c r="O82" s="241">
        <f t="shared" ref="O82" si="51">IFERROR((N82-K82)/K82,)</f>
        <v>-1</v>
      </c>
      <c r="P82" s="338">
        <f t="shared" ref="P82" si="52">IFERROR((N82-F82)/F82,)</f>
        <v>0</v>
      </c>
      <c r="Q82" s="521">
        <v>0</v>
      </c>
      <c r="R82" s="241">
        <f t="shared" ref="R82" si="53">IFERROR((Q82-N82)/N82,)</f>
        <v>0</v>
      </c>
      <c r="S82" s="338">
        <f t="shared" ref="S82" si="54">IFERROR((Q82-G82)/G82,)</f>
        <v>0</v>
      </c>
      <c r="T82" s="8"/>
    </row>
    <row r="83" spans="1:20" s="3" customFormat="1" ht="16.2" customHeight="1">
      <c r="A83" s="141"/>
      <c r="B83" s="555" t="s">
        <v>521</v>
      </c>
      <c r="C83" s="568" t="s">
        <v>522</v>
      </c>
      <c r="D83" s="521">
        <v>0</v>
      </c>
      <c r="E83" s="521">
        <v>0</v>
      </c>
      <c r="F83" s="521">
        <v>0</v>
      </c>
      <c r="G83" s="521">
        <v>0</v>
      </c>
      <c r="H83" s="521">
        <v>0</v>
      </c>
      <c r="I83" s="604">
        <f t="shared" si="33"/>
        <v>0</v>
      </c>
      <c r="J83" s="605">
        <f t="shared" si="34"/>
        <v>0</v>
      </c>
      <c r="K83" s="521">
        <v>0</v>
      </c>
      <c r="L83" s="604">
        <f t="shared" si="35"/>
        <v>0</v>
      </c>
      <c r="M83" s="605">
        <f t="shared" si="36"/>
        <v>0</v>
      </c>
      <c r="N83" s="521"/>
      <c r="O83" s="241"/>
      <c r="P83" s="338"/>
      <c r="Q83" s="521"/>
      <c r="R83" s="241"/>
      <c r="S83" s="338"/>
      <c r="T83" s="8"/>
    </row>
    <row r="84" spans="1:20" s="3" customFormat="1" ht="16.2" customHeight="1">
      <c r="A84" s="141"/>
      <c r="B84" s="555" t="s">
        <v>409</v>
      </c>
      <c r="C84" s="568" t="s">
        <v>61</v>
      </c>
      <c r="D84" s="521">
        <v>41.595999999999997</v>
      </c>
      <c r="E84" s="521">
        <v>24</v>
      </c>
      <c r="F84" s="573">
        <v>44.12</v>
      </c>
      <c r="G84" s="573">
        <v>164.3</v>
      </c>
      <c r="H84" s="521">
        <v>26.597000000000001</v>
      </c>
      <c r="I84" s="604">
        <f t="shared" si="33"/>
        <v>-0.83811929397443707</v>
      </c>
      <c r="J84" s="605">
        <f t="shared" si="34"/>
        <v>-0.36058755649581686</v>
      </c>
      <c r="K84" s="521">
        <v>26.463999999999999</v>
      </c>
      <c r="L84" s="604">
        <f t="shared" si="35"/>
        <v>-5.0005639733805562E-3</v>
      </c>
      <c r="M84" s="605">
        <f t="shared" si="36"/>
        <v>0.10266666666666661</v>
      </c>
      <c r="N84" s="573">
        <v>0</v>
      </c>
      <c r="O84" s="566">
        <f t="shared" si="49"/>
        <v>-1</v>
      </c>
      <c r="P84" s="567">
        <f t="shared" si="50"/>
        <v>-1</v>
      </c>
      <c r="Q84" s="573">
        <v>0</v>
      </c>
      <c r="R84" s="566">
        <f>IFERROR((Q84-N84)/N84,)</f>
        <v>0</v>
      </c>
      <c r="S84" s="567">
        <f>IFERROR((Q84-G84)/G84,)</f>
        <v>-1</v>
      </c>
      <c r="T84" s="8"/>
    </row>
    <row r="85" spans="1:20" s="3" customFormat="1" ht="16.2" customHeight="1">
      <c r="A85" s="141"/>
      <c r="B85" s="592" t="s">
        <v>419</v>
      </c>
      <c r="C85" s="593" t="s">
        <v>62</v>
      </c>
      <c r="D85" s="594">
        <f>D16*1000</f>
        <v>-2</v>
      </c>
      <c r="E85" s="594">
        <f>E16*1000</f>
        <v>-650</v>
      </c>
      <c r="F85" s="594">
        <f>F16*1000</f>
        <v>-49.85</v>
      </c>
      <c r="G85" s="595">
        <f>G16*1000</f>
        <v>-855</v>
      </c>
      <c r="H85" s="594">
        <f>H16*1000</f>
        <v>-661</v>
      </c>
      <c r="I85" s="596">
        <f t="shared" si="33"/>
        <v>-0.2269005847953216</v>
      </c>
      <c r="J85" s="597">
        <f t="shared" si="34"/>
        <v>329.5</v>
      </c>
      <c r="K85" s="594">
        <f>K16*1000</f>
        <v>-460</v>
      </c>
      <c r="L85" s="596">
        <f t="shared" si="35"/>
        <v>-0.30408472012102872</v>
      </c>
      <c r="M85" s="597">
        <f t="shared" si="36"/>
        <v>-0.29230769230769232</v>
      </c>
      <c r="N85" s="594">
        <f>N16*1000</f>
        <v>0</v>
      </c>
      <c r="O85" s="598">
        <f t="shared" si="49"/>
        <v>-1</v>
      </c>
      <c r="P85" s="599">
        <f t="shared" si="50"/>
        <v>-1</v>
      </c>
      <c r="Q85" s="594">
        <f>Q16*1000</f>
        <v>0</v>
      </c>
      <c r="R85" s="598">
        <f t="shared" ref="R85:R88" si="55">IFERROR((Q85-N85)/N85,)</f>
        <v>0</v>
      </c>
      <c r="S85" s="599">
        <f t="shared" ref="S85:S88" si="56">IFERROR((Q85-G85)/G85,)</f>
        <v>-1</v>
      </c>
      <c r="T85" s="8"/>
    </row>
    <row r="86" spans="1:20" s="3" customFormat="1" ht="16.2" customHeight="1">
      <c r="A86" s="141"/>
      <c r="B86" s="555" t="s">
        <v>443</v>
      </c>
      <c r="C86" s="568" t="s">
        <v>413</v>
      </c>
      <c r="D86" s="521">
        <v>-1.962</v>
      </c>
      <c r="E86" s="521">
        <v>-270</v>
      </c>
      <c r="F86" s="521">
        <v>-8.9760000000000009</v>
      </c>
      <c r="G86" s="521">
        <v>-609.4</v>
      </c>
      <c r="H86" s="521">
        <v>-21.039000000000001</v>
      </c>
      <c r="I86" s="584">
        <f t="shared" si="33"/>
        <v>-0.96547587791270106</v>
      </c>
      <c r="J86" s="585">
        <f t="shared" si="34"/>
        <v>9.7232415902140676</v>
      </c>
      <c r="K86" s="521">
        <v>1.6E-2</v>
      </c>
      <c r="L86" s="584">
        <f t="shared" si="35"/>
        <v>-1.0007604924188411</v>
      </c>
      <c r="M86" s="585">
        <f t="shared" si="36"/>
        <v>-1.0000592592592594</v>
      </c>
      <c r="N86" s="521">
        <v>0</v>
      </c>
      <c r="O86" s="241">
        <f t="shared" si="49"/>
        <v>-1</v>
      </c>
      <c r="P86" s="338">
        <f t="shared" si="50"/>
        <v>-1</v>
      </c>
      <c r="Q86" s="521">
        <v>0</v>
      </c>
      <c r="R86" s="241">
        <f t="shared" si="55"/>
        <v>0</v>
      </c>
      <c r="S86" s="338">
        <f t="shared" si="56"/>
        <v>-1</v>
      </c>
      <c r="T86" s="8"/>
    </row>
    <row r="87" spans="1:20" s="3" customFormat="1" ht="16.2" customHeight="1">
      <c r="A87" s="141"/>
      <c r="B87" s="555" t="s">
        <v>444</v>
      </c>
      <c r="C87" s="568" t="s">
        <v>414</v>
      </c>
      <c r="D87" s="521">
        <v>0</v>
      </c>
      <c r="E87" s="521">
        <v>-4</v>
      </c>
      <c r="F87" s="521">
        <v>0</v>
      </c>
      <c r="G87" s="521">
        <v>0</v>
      </c>
      <c r="H87" s="521">
        <v>0</v>
      </c>
      <c r="I87" s="584">
        <f t="shared" si="33"/>
        <v>0</v>
      </c>
      <c r="J87" s="585">
        <f t="shared" si="34"/>
        <v>0</v>
      </c>
      <c r="K87" s="521">
        <v>0</v>
      </c>
      <c r="L87" s="584">
        <f t="shared" si="35"/>
        <v>0</v>
      </c>
      <c r="M87" s="585">
        <f t="shared" si="36"/>
        <v>-1</v>
      </c>
      <c r="N87" s="521">
        <v>0</v>
      </c>
      <c r="O87" s="241">
        <f t="shared" si="49"/>
        <v>0</v>
      </c>
      <c r="P87" s="338">
        <f t="shared" si="50"/>
        <v>0</v>
      </c>
      <c r="Q87" s="521">
        <v>0</v>
      </c>
      <c r="R87" s="241">
        <f t="shared" si="55"/>
        <v>0</v>
      </c>
      <c r="S87" s="338">
        <f t="shared" si="56"/>
        <v>0</v>
      </c>
      <c r="T87" s="8"/>
    </row>
    <row r="88" spans="1:20" s="3" customFormat="1" ht="16.2" customHeight="1">
      <c r="A88" s="141"/>
      <c r="B88" s="555" t="s">
        <v>410</v>
      </c>
      <c r="C88" s="568" t="s">
        <v>62</v>
      </c>
      <c r="D88" s="521">
        <v>-0.28799999999999998</v>
      </c>
      <c r="E88" s="521">
        <v>-376</v>
      </c>
      <c r="F88" s="521">
        <v>-40.875</v>
      </c>
      <c r="G88" s="521">
        <v>-19.5</v>
      </c>
      <c r="H88" s="521">
        <v>-640.10400000000004</v>
      </c>
      <c r="I88" s="584">
        <f t="shared" si="33"/>
        <v>31.825846153846157</v>
      </c>
      <c r="J88" s="585">
        <f t="shared" si="34"/>
        <v>2221.5833333333335</v>
      </c>
      <c r="K88" s="521">
        <v>459.428</v>
      </c>
      <c r="L88" s="584">
        <f t="shared" si="35"/>
        <v>-1.7177396173121868</v>
      </c>
      <c r="M88" s="585">
        <f t="shared" si="36"/>
        <v>-2.2218829787234045</v>
      </c>
      <c r="N88" s="521">
        <v>0</v>
      </c>
      <c r="O88" s="241">
        <f t="shared" si="49"/>
        <v>-1</v>
      </c>
      <c r="P88" s="338">
        <f t="shared" si="50"/>
        <v>-1</v>
      </c>
      <c r="Q88" s="521">
        <v>0</v>
      </c>
      <c r="R88" s="241">
        <f t="shared" si="55"/>
        <v>0</v>
      </c>
      <c r="S88" s="338">
        <f t="shared" si="56"/>
        <v>-1</v>
      </c>
      <c r="T88" s="8"/>
    </row>
    <row r="89" spans="1:20" s="3" customFormat="1" ht="16.2" customHeight="1">
      <c r="A89" s="141"/>
      <c r="B89" s="556" t="s">
        <v>432</v>
      </c>
      <c r="C89" s="575" t="s">
        <v>69</v>
      </c>
      <c r="D89" s="573">
        <f>(D85-SUM(D86:D88))*1</f>
        <v>0.25</v>
      </c>
      <c r="E89" s="573">
        <f>E85-SUM(E86:E88)</f>
        <v>0</v>
      </c>
      <c r="F89" s="573">
        <f>F85-SUM(F86:F88)</f>
        <v>9.9999999999766942E-4</v>
      </c>
      <c r="G89" s="573">
        <v>-227.113</v>
      </c>
      <c r="H89" s="573">
        <v>0</v>
      </c>
      <c r="I89" s="586">
        <f t="shared" si="33"/>
        <v>-1</v>
      </c>
      <c r="J89" s="587">
        <f t="shared" si="34"/>
        <v>-1</v>
      </c>
      <c r="K89" s="573">
        <v>0.5</v>
      </c>
      <c r="L89" s="586">
        <f t="shared" si="35"/>
        <v>0</v>
      </c>
      <c r="M89" s="587">
        <f t="shared" si="36"/>
        <v>0</v>
      </c>
      <c r="N89" s="573">
        <v>0</v>
      </c>
      <c r="O89" s="566">
        <f t="shared" si="49"/>
        <v>-1</v>
      </c>
      <c r="P89" s="567">
        <f t="shared" si="50"/>
        <v>-1</v>
      </c>
      <c r="Q89" s="573">
        <v>0</v>
      </c>
      <c r="R89" s="566">
        <f t="shared" ref="R89" si="57">IFERROR((Q89-N89)/N89,)</f>
        <v>0</v>
      </c>
      <c r="S89" s="567">
        <f t="shared" ref="S89" si="58">IFERROR((Q89-G89)/G89,)</f>
        <v>-1</v>
      </c>
    </row>
    <row r="91" spans="1:20" ht="16.2" customHeight="1">
      <c r="B91" s="93" t="s">
        <v>519</v>
      </c>
      <c r="C91" s="93" t="s">
        <v>445</v>
      </c>
      <c r="G91" s="119" t="s">
        <v>484</v>
      </c>
    </row>
    <row r="92" spans="1:20" ht="16.2" customHeight="1">
      <c r="B92" s="557" t="s">
        <v>403</v>
      </c>
      <c r="C92" s="558" t="s">
        <v>405</v>
      </c>
      <c r="D92" s="576" t="str">
        <f>+D64</f>
        <v>1Q25</v>
      </c>
      <c r="E92" s="576" t="str">
        <f t="shared" ref="E92:G92" si="59">+E64</f>
        <v>2Q25</v>
      </c>
      <c r="F92" s="576" t="str">
        <f t="shared" si="59"/>
        <v>3Q25</v>
      </c>
      <c r="G92" s="576" t="str">
        <f t="shared" si="59"/>
        <v>4Q25</v>
      </c>
      <c r="H92" s="563" t="str">
        <f>+H64</f>
        <v>1Q26</v>
      </c>
      <c r="I92" s="559" t="s">
        <v>1</v>
      </c>
      <c r="J92" s="560" t="s">
        <v>0</v>
      </c>
      <c r="K92" s="563" t="str">
        <f>+K64</f>
        <v>2Q26</v>
      </c>
      <c r="L92" s="559" t="s">
        <v>1</v>
      </c>
      <c r="M92" s="560" t="s">
        <v>0</v>
      </c>
      <c r="N92" s="563" t="str">
        <f>+N64</f>
        <v>3Q26</v>
      </c>
      <c r="O92" s="559" t="s">
        <v>1</v>
      </c>
      <c r="P92" s="560" t="s">
        <v>0</v>
      </c>
      <c r="Q92" s="563" t="str">
        <f>+Q64</f>
        <v>4Q26</v>
      </c>
      <c r="R92" s="559" t="s">
        <v>1</v>
      </c>
      <c r="S92" s="560" t="s">
        <v>0</v>
      </c>
      <c r="T92" s="41"/>
    </row>
    <row r="93" spans="1:20" ht="16.2" customHeight="1">
      <c r="B93" s="601" t="s">
        <v>520</v>
      </c>
      <c r="C93" s="593"/>
      <c r="D93" s="594"/>
      <c r="E93" s="594"/>
      <c r="F93" s="594"/>
      <c r="G93" s="595"/>
      <c r="H93" s="594"/>
      <c r="I93" s="602"/>
      <c r="J93" s="603"/>
      <c r="K93" s="594"/>
      <c r="L93" s="602"/>
      <c r="M93" s="603"/>
    </row>
    <row r="94" spans="1:20" ht="16.2" customHeight="1">
      <c r="B94" s="582" t="s">
        <v>425</v>
      </c>
      <c r="C94" s="583" t="s">
        <v>212</v>
      </c>
      <c r="D94" s="521">
        <v>77113.297000000006</v>
      </c>
      <c r="E94" s="521">
        <v>83283.805999999997</v>
      </c>
      <c r="F94" s="521">
        <v>82997.292000000001</v>
      </c>
      <c r="G94" s="512">
        <v>93425.242999999973</v>
      </c>
      <c r="H94" s="521">
        <v>87175.298999999999</v>
      </c>
      <c r="I94" s="561">
        <f>IFERROR((H94-G94)/G94,)</f>
        <v>-6.6897808336446887E-2</v>
      </c>
      <c r="J94" s="564">
        <f>IFERROR((H94-D94)/D94,)</f>
        <v>0.1304833587908969</v>
      </c>
      <c r="K94" s="521">
        <v>105515.318</v>
      </c>
      <c r="L94" s="561">
        <f>IFERROR((K94-H94)/H94,)</f>
        <v>0.21038091306116427</v>
      </c>
      <c r="M94" s="564">
        <f>IFERROR((K94-E94)/E94,)</f>
        <v>0.26693679200972159</v>
      </c>
    </row>
    <row r="95" spans="1:20" ht="16.2" customHeight="1">
      <c r="B95" s="582" t="s">
        <v>176</v>
      </c>
      <c r="C95" s="583" t="s">
        <v>276</v>
      </c>
      <c r="D95" s="521">
        <v>61327.678</v>
      </c>
      <c r="E95" s="521">
        <v>64017.754000000001</v>
      </c>
      <c r="F95" s="521">
        <v>63724.163</v>
      </c>
      <c r="G95" s="521">
        <v>72022.262000000002</v>
      </c>
      <c r="H95" s="521">
        <v>65048.677000000003</v>
      </c>
      <c r="I95" s="561"/>
      <c r="J95" s="564"/>
      <c r="K95" s="521">
        <v>76517.519</v>
      </c>
      <c r="L95" s="561">
        <f>IFERROR((K95-H95)/H95,)</f>
        <v>0.17631168732301805</v>
      </c>
      <c r="M95" s="564">
        <f>IFERROR((K95-E95)/E95,)</f>
        <v>0.19525466326106972</v>
      </c>
    </row>
    <row r="96" spans="1:20" ht="16.2" customHeight="1">
      <c r="B96" s="582" t="s">
        <v>178</v>
      </c>
      <c r="C96" s="583" t="s">
        <v>277</v>
      </c>
      <c r="D96" s="521">
        <v>38781.932000000001</v>
      </c>
      <c r="E96" s="521">
        <v>43010.65</v>
      </c>
      <c r="F96" s="521">
        <v>37618.141000000003</v>
      </c>
      <c r="G96" s="521">
        <v>51190.150999999998</v>
      </c>
      <c r="H96" s="521">
        <v>37199.495000000003</v>
      </c>
      <c r="I96" s="561"/>
      <c r="J96" s="564"/>
      <c r="K96" s="521">
        <v>43940.686000000002</v>
      </c>
      <c r="L96" s="561">
        <f>IFERROR((K96-H96)/H96,)</f>
        <v>0.18121727190113732</v>
      </c>
      <c r="M96" s="564">
        <f>IFERROR((K96-E96)/E96,)</f>
        <v>2.1623388625840345E-2</v>
      </c>
    </row>
    <row r="97" spans="2:20" ht="16.2" customHeight="1">
      <c r="B97" s="582" t="s">
        <v>426</v>
      </c>
      <c r="C97" s="583" t="s">
        <v>429</v>
      </c>
      <c r="D97" s="521">
        <v>29723.793000000001</v>
      </c>
      <c r="E97" s="521">
        <v>26472.748</v>
      </c>
      <c r="F97" s="521">
        <v>33108.648999999998</v>
      </c>
      <c r="G97" s="521">
        <v>42665.060000000005</v>
      </c>
      <c r="H97" s="521">
        <v>33156.118999999999</v>
      </c>
      <c r="I97" s="561">
        <f>IFERROR((H97-G97)/G97,)</f>
        <v>-0.22287419729399197</v>
      </c>
      <c r="J97" s="564">
        <f>IFERROR((H97-D97)/D97,)</f>
        <v>0.11547402446249028</v>
      </c>
      <c r="K97" s="521">
        <v>25521.125</v>
      </c>
      <c r="L97" s="561">
        <f t="shared" ref="L97:L123" si="60">IFERROR((K97-H97)/H97,)</f>
        <v>-0.2302740558990031</v>
      </c>
      <c r="M97" s="564">
        <f t="shared" ref="M97:M123" si="61">IFERROR((K97-E97)/E97,)</f>
        <v>-3.5947269244583129E-2</v>
      </c>
    </row>
    <row r="98" spans="2:20" ht="16.2" customHeight="1">
      <c r="B98" s="601" t="s">
        <v>518</v>
      </c>
      <c r="C98" s="593"/>
      <c r="D98" s="594"/>
      <c r="E98" s="594"/>
      <c r="F98" s="594"/>
      <c r="G98" s="595"/>
      <c r="H98" s="594"/>
      <c r="I98" s="602"/>
      <c r="J98" s="603"/>
      <c r="K98" s="594"/>
      <c r="L98" s="602" t="s">
        <v>456</v>
      </c>
      <c r="M98" s="603" t="s">
        <v>456</v>
      </c>
    </row>
    <row r="99" spans="2:20" ht="16.2" customHeight="1">
      <c r="B99" s="582" t="s">
        <v>425</v>
      </c>
      <c r="C99" s="583" t="s">
        <v>212</v>
      </c>
      <c r="D99" s="521">
        <v>77107.199999999997</v>
      </c>
      <c r="E99" s="521">
        <v>83257.903999999995</v>
      </c>
      <c r="F99" s="521">
        <v>83001.282999999996</v>
      </c>
      <c r="G99" s="512">
        <v>93138.63</v>
      </c>
      <c r="H99" s="521">
        <v>85245.328999999998</v>
      </c>
      <c r="I99" s="561">
        <f>IFERROR((H99-G99)/G99,)</f>
        <v>-8.4747875290843405E-2</v>
      </c>
      <c r="J99" s="564">
        <f>IFERROR((H99-D99)/D99,)</f>
        <v>0.10554304915753654</v>
      </c>
      <c r="K99" s="521">
        <v>90396.763999999996</v>
      </c>
      <c r="L99" s="561">
        <f t="shared" si="60"/>
        <v>6.0430701135542546E-2</v>
      </c>
      <c r="M99" s="564">
        <f t="shared" si="61"/>
        <v>8.5743931290895831E-2</v>
      </c>
    </row>
    <row r="100" spans="2:20" ht="16.2" customHeight="1">
      <c r="B100" s="582" t="s">
        <v>176</v>
      </c>
      <c r="C100" s="583" t="s">
        <v>276</v>
      </c>
      <c r="D100" s="521">
        <v>61136.707999999999</v>
      </c>
      <c r="E100" s="521">
        <v>63731.860999999997</v>
      </c>
      <c r="F100" s="521">
        <v>63198.3</v>
      </c>
      <c r="G100" s="521">
        <v>71171.39</v>
      </c>
      <c r="H100" s="521">
        <v>65567.167000000001</v>
      </c>
      <c r="I100" s="561"/>
      <c r="J100" s="564"/>
      <c r="K100" s="521">
        <v>69484.411999999997</v>
      </c>
      <c r="L100" s="561">
        <f t="shared" ref="L100:L102" si="62">IFERROR((K100-H100)/H100,)</f>
        <v>5.9744002665236329E-2</v>
      </c>
      <c r="M100" s="564">
        <f t="shared" ref="M100:M102" si="63">IFERROR((K100-E100)/E100,)</f>
        <v>9.0261776601816154E-2</v>
      </c>
      <c r="T100" s="993" t="s">
        <v>456</v>
      </c>
    </row>
    <row r="101" spans="2:20" ht="16.2" customHeight="1">
      <c r="B101" s="582" t="s">
        <v>178</v>
      </c>
      <c r="C101" s="583" t="s">
        <v>277</v>
      </c>
      <c r="D101" s="521">
        <v>39085.122000000003</v>
      </c>
      <c r="E101" s="521">
        <v>43067.271999999997</v>
      </c>
      <c r="F101" s="521">
        <v>37981.845999999998</v>
      </c>
      <c r="G101" s="521">
        <v>51287.62</v>
      </c>
      <c r="H101" s="521">
        <v>40690.633000000002</v>
      </c>
      <c r="I101" s="561"/>
      <c r="J101" s="564"/>
      <c r="K101" s="521">
        <v>45920.546999999999</v>
      </c>
      <c r="L101" s="561">
        <f t="shared" si="62"/>
        <v>0.12852869602692091</v>
      </c>
      <c r="M101" s="564">
        <f t="shared" si="63"/>
        <v>6.6251584265657734E-2</v>
      </c>
      <c r="T101" s="8" t="s">
        <v>456</v>
      </c>
    </row>
    <row r="102" spans="2:20" ht="16.2" customHeight="1">
      <c r="B102" s="582" t="s">
        <v>426</v>
      </c>
      <c r="C102" s="583" t="s">
        <v>429</v>
      </c>
      <c r="D102" s="521">
        <v>30109.705999999998</v>
      </c>
      <c r="E102" s="521">
        <v>26631.999</v>
      </c>
      <c r="F102" s="521">
        <v>33514.728999999999</v>
      </c>
      <c r="G102" s="521">
        <v>42818.201999999997</v>
      </c>
      <c r="H102" s="521">
        <v>38303.803</v>
      </c>
      <c r="I102" s="561">
        <f>IFERROR((H102-G102)/G102,)</f>
        <v>-0.10543177408523595</v>
      </c>
      <c r="J102" s="564">
        <f>IFERROR((H102-D102)/D102,)</f>
        <v>0.27214138191850834</v>
      </c>
      <c r="K102" s="521">
        <v>38774.857000000004</v>
      </c>
      <c r="L102" s="561">
        <f t="shared" si="62"/>
        <v>1.2297838937820448E-2</v>
      </c>
      <c r="M102" s="564">
        <f t="shared" si="63"/>
        <v>0.45594992700322662</v>
      </c>
    </row>
    <row r="103" spans="2:20" ht="16.2" customHeight="1">
      <c r="B103" s="601" t="s">
        <v>499</v>
      </c>
      <c r="C103" s="593"/>
      <c r="D103" s="594"/>
      <c r="E103" s="594"/>
      <c r="F103" s="594"/>
      <c r="G103" s="595"/>
      <c r="H103" s="594"/>
      <c r="I103" s="602"/>
      <c r="J103" s="603"/>
      <c r="K103" s="594"/>
      <c r="L103" s="602" t="s">
        <v>456</v>
      </c>
      <c r="M103" s="603" t="s">
        <v>456</v>
      </c>
    </row>
    <row r="104" spans="2:20" ht="16.2" customHeight="1">
      <c r="B104" s="582" t="s">
        <v>425</v>
      </c>
      <c r="C104" s="583" t="s">
        <v>212</v>
      </c>
      <c r="D104" s="521">
        <v>0</v>
      </c>
      <c r="E104" s="521">
        <v>0</v>
      </c>
      <c r="F104" s="521">
        <v>0</v>
      </c>
      <c r="G104" s="512">
        <v>0</v>
      </c>
      <c r="H104" s="521">
        <v>2.5000000000000001E-2</v>
      </c>
      <c r="I104" s="561">
        <f>IFERROR((H104-G104)/G104,)</f>
        <v>0</v>
      </c>
      <c r="J104" s="564">
        <f>IFERROR((H104-D104)/D104,)</f>
        <v>0</v>
      </c>
      <c r="K104" s="521">
        <v>1.0469999999999999</v>
      </c>
      <c r="L104" s="561">
        <f t="shared" si="60"/>
        <v>40.879999999999995</v>
      </c>
      <c r="M104" s="564">
        <f t="shared" si="61"/>
        <v>0</v>
      </c>
    </row>
    <row r="105" spans="2:20" ht="16.2" customHeight="1">
      <c r="B105" s="582" t="s">
        <v>426</v>
      </c>
      <c r="C105" s="583" t="s">
        <v>429</v>
      </c>
      <c r="D105" s="521">
        <v>0</v>
      </c>
      <c r="E105" s="521">
        <v>0</v>
      </c>
      <c r="F105" s="521">
        <v>0</v>
      </c>
      <c r="G105" s="521">
        <v>0</v>
      </c>
      <c r="H105" s="521">
        <v>-6.0620000000000003</v>
      </c>
      <c r="I105" s="561">
        <f>IFERROR((H105-G105)/G105,)</f>
        <v>0</v>
      </c>
      <c r="J105" s="564">
        <f>IFERROR((H105-D105)/D105,)</f>
        <v>0</v>
      </c>
      <c r="K105" s="521">
        <v>-3.5179999999999998</v>
      </c>
      <c r="L105" s="561">
        <f t="shared" si="60"/>
        <v>-0.41966347740019799</v>
      </c>
      <c r="M105" s="564">
        <f t="shared" si="61"/>
        <v>0</v>
      </c>
    </row>
    <row r="106" spans="2:20" ht="16.2" customHeight="1">
      <c r="B106" s="601" t="s">
        <v>500</v>
      </c>
      <c r="C106" s="593"/>
      <c r="D106" s="594"/>
      <c r="E106" s="594"/>
      <c r="F106" s="594"/>
      <c r="G106" s="595"/>
      <c r="H106" s="594"/>
      <c r="I106" s="602"/>
      <c r="J106" s="603"/>
      <c r="K106" s="594"/>
      <c r="L106" s="602" t="s">
        <v>456</v>
      </c>
      <c r="M106" s="603" t="s">
        <v>456</v>
      </c>
    </row>
    <row r="107" spans="2:20" ht="16.2" customHeight="1">
      <c r="B107" s="582" t="s">
        <v>425</v>
      </c>
      <c r="C107" s="583" t="s">
        <v>212</v>
      </c>
      <c r="D107" s="521">
        <v>0</v>
      </c>
      <c r="E107" s="521">
        <v>0</v>
      </c>
      <c r="F107" s="521">
        <v>0</v>
      </c>
      <c r="G107" s="512">
        <v>0</v>
      </c>
      <c r="H107" s="521">
        <v>0</v>
      </c>
      <c r="I107" s="561">
        <f>IFERROR((H107-G107)/G107,)</f>
        <v>0</v>
      </c>
      <c r="J107" s="564">
        <f>IFERROR((H107-D107)/D107,)</f>
        <v>0</v>
      </c>
      <c r="K107" s="521">
        <v>0</v>
      </c>
      <c r="L107" s="561">
        <f t="shared" si="60"/>
        <v>0</v>
      </c>
      <c r="M107" s="564">
        <f t="shared" si="61"/>
        <v>0</v>
      </c>
    </row>
    <row r="108" spans="2:20" ht="16.2" customHeight="1">
      <c r="B108" s="582" t="s">
        <v>426</v>
      </c>
      <c r="C108" s="583" t="s">
        <v>429</v>
      </c>
      <c r="D108" s="521">
        <v>0</v>
      </c>
      <c r="E108" s="521">
        <v>0</v>
      </c>
      <c r="F108" s="521">
        <v>0</v>
      </c>
      <c r="G108" s="521">
        <v>0</v>
      </c>
      <c r="H108" s="521">
        <v>-3.7709999999999999</v>
      </c>
      <c r="I108" s="561">
        <f>IFERROR((H108-G108)/G108,)</f>
        <v>0</v>
      </c>
      <c r="J108" s="564">
        <f>IFERROR((H108-D108)/D108,)</f>
        <v>0</v>
      </c>
      <c r="K108" s="521">
        <v>-6.899</v>
      </c>
      <c r="L108" s="561">
        <f t="shared" si="60"/>
        <v>0.82948819941660046</v>
      </c>
      <c r="M108" s="564">
        <f t="shared" si="61"/>
        <v>0</v>
      </c>
    </row>
    <row r="109" spans="2:20" ht="16.2" customHeight="1">
      <c r="B109" s="601" t="s">
        <v>428</v>
      </c>
      <c r="C109" s="593"/>
      <c r="D109" s="594"/>
      <c r="E109" s="594"/>
      <c r="F109" s="594"/>
      <c r="G109" s="595"/>
      <c r="H109" s="594"/>
      <c r="I109" s="602"/>
      <c r="J109" s="603"/>
      <c r="K109" s="594"/>
      <c r="L109" s="602" t="s">
        <v>456</v>
      </c>
      <c r="M109" s="603" t="s">
        <v>456</v>
      </c>
      <c r="N109" s="594"/>
      <c r="O109" s="608"/>
      <c r="P109" s="609"/>
      <c r="Q109" s="594"/>
      <c r="R109" s="608"/>
      <c r="S109" s="609"/>
    </row>
    <row r="110" spans="2:20" ht="16.2" customHeight="1">
      <c r="B110" s="582" t="s">
        <v>425</v>
      </c>
      <c r="C110" s="583" t="s">
        <v>212</v>
      </c>
      <c r="D110" s="521">
        <v>0</v>
      </c>
      <c r="E110" s="521">
        <v>32.991</v>
      </c>
      <c r="F110" s="521">
        <f>34.871-E110</f>
        <v>1.8800000000000026</v>
      </c>
      <c r="G110" s="512">
        <f>424.355-D110-E110-F110</f>
        <v>389.48400000000004</v>
      </c>
      <c r="H110" s="521">
        <v>239.41800000000001</v>
      </c>
      <c r="I110" s="561">
        <f>IFERROR((H110-G110)/G110,)</f>
        <v>-0.38529438949995382</v>
      </c>
      <c r="J110" s="564">
        <f>IFERROR((H110-D110)/D110,)</f>
        <v>0</v>
      </c>
      <c r="K110" s="521">
        <v>205.386</v>
      </c>
      <c r="L110" s="561">
        <f t="shared" si="60"/>
        <v>-0.14214470089968176</v>
      </c>
      <c r="M110" s="564">
        <f t="shared" si="61"/>
        <v>5.2255160498317714</v>
      </c>
      <c r="N110" s="521">
        <v>0</v>
      </c>
      <c r="O110" s="241">
        <f>IFERROR((N110-K110)/K110,)</f>
        <v>-1</v>
      </c>
      <c r="P110" s="338">
        <f>IFERROR((N110-F110)/F110,)</f>
        <v>-1</v>
      </c>
      <c r="Q110" s="521">
        <v>0</v>
      </c>
      <c r="R110" s="241">
        <f>IFERROR((Q110-N110)/N110,)</f>
        <v>0</v>
      </c>
      <c r="S110" s="338">
        <f>IFERROR((Q110-G110)/G110,)</f>
        <v>-1</v>
      </c>
    </row>
    <row r="111" spans="2:20" ht="16.2" customHeight="1">
      <c r="B111" s="582" t="s">
        <v>426</v>
      </c>
      <c r="C111" s="583" t="s">
        <v>429</v>
      </c>
      <c r="D111" s="521">
        <f>-334.682</f>
        <v>-334.68200000000002</v>
      </c>
      <c r="E111" s="521">
        <f>-599.243-D111</f>
        <v>-264.56100000000004</v>
      </c>
      <c r="F111" s="521">
        <f>-1075.212-D111-E111</f>
        <v>-475.96899999999994</v>
      </c>
      <c r="G111" s="521">
        <v>-1321.624</v>
      </c>
      <c r="H111" s="521">
        <v>-350.92200000000003</v>
      </c>
      <c r="I111" s="561">
        <f>IFERROR((H111-G111)/G111,)</f>
        <v>-0.73447667415240647</v>
      </c>
      <c r="J111" s="564">
        <f>IFERROR((H111-D111)/D111,)</f>
        <v>4.8523673218159355E-2</v>
      </c>
      <c r="K111" s="521">
        <v>-661.59199999999998</v>
      </c>
      <c r="L111" s="561">
        <f t="shared" si="60"/>
        <v>0.88529644764363569</v>
      </c>
      <c r="M111" s="564">
        <f t="shared" si="61"/>
        <v>1.5007162809333194</v>
      </c>
      <c r="N111" s="521">
        <v>0</v>
      </c>
      <c r="O111" s="566">
        <f>IFERROR((N111-K111)/K111,)</f>
        <v>-1</v>
      </c>
      <c r="P111" s="567">
        <f>IFERROR((N111-F111)/F111,)</f>
        <v>-1</v>
      </c>
      <c r="Q111" s="521">
        <v>0</v>
      </c>
      <c r="R111" s="566">
        <f>IFERROR((Q111-N111)/N111,)</f>
        <v>0</v>
      </c>
      <c r="S111" s="338">
        <f>IFERROR((Q111-G111)/G111,)</f>
        <v>-1</v>
      </c>
    </row>
    <row r="112" spans="2:20" ht="16.2" customHeight="1">
      <c r="B112" s="601" t="s">
        <v>513</v>
      </c>
      <c r="C112" s="593"/>
      <c r="D112" s="594"/>
      <c r="E112" s="594"/>
      <c r="F112" s="594"/>
      <c r="G112" s="595"/>
      <c r="H112" s="594"/>
      <c r="I112" s="602"/>
      <c r="J112" s="603"/>
      <c r="K112" s="594"/>
      <c r="L112" s="602" t="s">
        <v>456</v>
      </c>
      <c r="M112" s="603" t="s">
        <v>456</v>
      </c>
    </row>
    <row r="113" spans="2:19" ht="16.2" customHeight="1">
      <c r="B113" s="582" t="s">
        <v>425</v>
      </c>
      <c r="C113" s="583" t="s">
        <v>212</v>
      </c>
      <c r="D113" s="521">
        <v>0</v>
      </c>
      <c r="E113" s="521">
        <v>0</v>
      </c>
      <c r="F113" s="521">
        <v>0</v>
      </c>
      <c r="G113" s="512">
        <v>0</v>
      </c>
      <c r="H113" s="521">
        <v>1516.8510000000001</v>
      </c>
      <c r="I113" s="561">
        <f>IFERROR((H113-G113)/G113,)</f>
        <v>0</v>
      </c>
      <c r="J113" s="564">
        <f>IFERROR((H113-D113)/D113,)</f>
        <v>0</v>
      </c>
      <c r="K113" s="521">
        <v>2045.9960000000001</v>
      </c>
      <c r="L113" s="561">
        <f t="shared" si="60"/>
        <v>0.34884441517327669</v>
      </c>
      <c r="M113" s="564">
        <f t="shared" si="61"/>
        <v>0</v>
      </c>
    </row>
    <row r="114" spans="2:19" ht="16.2" customHeight="1">
      <c r="B114" s="582" t="s">
        <v>426</v>
      </c>
      <c r="C114" s="583" t="s">
        <v>429</v>
      </c>
      <c r="D114" s="521">
        <v>0</v>
      </c>
      <c r="E114" s="521">
        <v>0</v>
      </c>
      <c r="F114" s="521">
        <v>0</v>
      </c>
      <c r="G114" s="521">
        <v>0</v>
      </c>
      <c r="H114" s="521">
        <v>17.954000000000001</v>
      </c>
      <c r="I114" s="561">
        <f>IFERROR((H114-G114)/G114,)</f>
        <v>0</v>
      </c>
      <c r="J114" s="564">
        <f>IFERROR((H114-D114)/D114,)</f>
        <v>0</v>
      </c>
      <c r="K114" s="521">
        <v>268.89800000000002</v>
      </c>
      <c r="L114" s="561">
        <f t="shared" si="60"/>
        <v>13.977052467416732</v>
      </c>
      <c r="M114" s="564">
        <f t="shared" si="61"/>
        <v>0</v>
      </c>
    </row>
    <row r="115" spans="2:19" ht="16.2" customHeight="1">
      <c r="B115" s="601" t="s">
        <v>427</v>
      </c>
      <c r="C115" s="593"/>
      <c r="D115" s="594"/>
      <c r="E115" s="594"/>
      <c r="F115" s="594"/>
      <c r="G115" s="595"/>
      <c r="H115" s="594"/>
      <c r="I115" s="602"/>
      <c r="J115" s="603"/>
      <c r="K115" s="594"/>
      <c r="L115" s="602" t="s">
        <v>456</v>
      </c>
      <c r="M115" s="603" t="s">
        <v>456</v>
      </c>
      <c r="N115" s="594"/>
      <c r="O115" s="608"/>
      <c r="P115" s="609"/>
      <c r="Q115" s="594"/>
      <c r="R115" s="608"/>
      <c r="S115" s="609"/>
    </row>
    <row r="116" spans="2:19" ht="16.2" customHeight="1">
      <c r="B116" s="582" t="s">
        <v>425</v>
      </c>
      <c r="C116" s="583" t="s">
        <v>212</v>
      </c>
      <c r="D116" s="521">
        <v>0</v>
      </c>
      <c r="E116" s="521">
        <v>0</v>
      </c>
      <c r="F116" s="521">
        <v>0</v>
      </c>
      <c r="G116" s="512">
        <v>0</v>
      </c>
      <c r="H116" s="521">
        <v>4826.2160000000003</v>
      </c>
      <c r="I116" s="561">
        <f>IFERROR((H116-G116)/G116,)</f>
        <v>0</v>
      </c>
      <c r="J116" s="564">
        <f>IFERROR((H116-D116)/D116,)</f>
        <v>0</v>
      </c>
      <c r="K116" s="521">
        <v>18895.865000000002</v>
      </c>
      <c r="L116" s="561">
        <f t="shared" si="60"/>
        <v>2.9152547254412151</v>
      </c>
      <c r="M116" s="564">
        <f t="shared" si="61"/>
        <v>0</v>
      </c>
      <c r="N116" s="521">
        <v>0</v>
      </c>
      <c r="O116" s="241">
        <f>IFERROR((N116-K116)/K116,)</f>
        <v>-1</v>
      </c>
      <c r="P116" s="338">
        <f>IFERROR((N116-F116)/F116,)</f>
        <v>0</v>
      </c>
      <c r="Q116" s="521">
        <v>0</v>
      </c>
      <c r="R116" s="241">
        <f>IFERROR((Q116-N116)/N116,)</f>
        <v>0</v>
      </c>
      <c r="S116" s="338">
        <f>IFERROR((Q116-G116)/G116,)</f>
        <v>0</v>
      </c>
    </row>
    <row r="117" spans="2:19" ht="16.2" customHeight="1">
      <c r="B117" s="582" t="s">
        <v>426</v>
      </c>
      <c r="C117" s="583" t="s">
        <v>429</v>
      </c>
      <c r="D117" s="521">
        <v>0</v>
      </c>
      <c r="E117" s="521">
        <v>0</v>
      </c>
      <c r="F117" s="521">
        <v>0</v>
      </c>
      <c r="G117" s="521">
        <v>0</v>
      </c>
      <c r="H117" s="521">
        <v>-2177.297</v>
      </c>
      <c r="I117" s="561">
        <f>IFERROR((H117-G117)/G117,)</f>
        <v>0</v>
      </c>
      <c r="J117" s="564">
        <f>IFERROR((H117-D117)/D117,)</f>
        <v>0</v>
      </c>
      <c r="K117" s="521">
        <v>-12986.523999999999</v>
      </c>
      <c r="L117" s="561">
        <f t="shared" si="60"/>
        <v>4.9645165542413361</v>
      </c>
      <c r="M117" s="564">
        <f t="shared" si="61"/>
        <v>0</v>
      </c>
      <c r="N117" s="521">
        <v>0</v>
      </c>
      <c r="O117" s="566">
        <f>IFERROR((N117-K117)/K117,)</f>
        <v>-1</v>
      </c>
      <c r="P117" s="567">
        <f>IFERROR((N117-F117)/F117,)</f>
        <v>0</v>
      </c>
      <c r="Q117" s="521">
        <v>0</v>
      </c>
      <c r="R117" s="566">
        <f>IFERROR((Q117-N117)/N117,)</f>
        <v>0</v>
      </c>
      <c r="S117" s="338">
        <f>IFERROR((Q117-G117)/G117,)</f>
        <v>0</v>
      </c>
    </row>
    <row r="118" spans="2:19" ht="16.2" customHeight="1">
      <c r="B118" s="601" t="s">
        <v>483</v>
      </c>
      <c r="C118" s="593"/>
      <c r="D118" s="594"/>
      <c r="E118" s="594"/>
      <c r="F118" s="594"/>
      <c r="G118" s="595"/>
      <c r="H118" s="594"/>
      <c r="I118" s="602"/>
      <c r="J118" s="603"/>
      <c r="K118" s="594"/>
      <c r="L118" s="602" t="s">
        <v>456</v>
      </c>
      <c r="M118" s="603" t="s">
        <v>456</v>
      </c>
      <c r="N118" s="594"/>
      <c r="O118" s="608"/>
      <c r="P118" s="609"/>
      <c r="Q118" s="594"/>
      <c r="R118" s="608"/>
      <c r="S118" s="609"/>
    </row>
    <row r="119" spans="2:19" ht="16.2" customHeight="1">
      <c r="B119" s="582" t="s">
        <v>425</v>
      </c>
      <c r="C119" s="583" t="s">
        <v>212</v>
      </c>
      <c r="D119" s="521">
        <v>0</v>
      </c>
      <c r="E119" s="521">
        <v>0</v>
      </c>
      <c r="F119" s="521">
        <v>0</v>
      </c>
      <c r="G119" s="512">
        <v>0</v>
      </c>
      <c r="H119" s="521">
        <v>616.4</v>
      </c>
      <c r="I119" s="561">
        <f>IFERROR((H119-G119)/G119,)</f>
        <v>0</v>
      </c>
      <c r="J119" s="564">
        <f>IFERROR((H119-D119)/D119,)</f>
        <v>0</v>
      </c>
      <c r="K119" s="906">
        <v>626.93999999999994</v>
      </c>
      <c r="L119" s="561">
        <f t="shared" si="60"/>
        <v>1.7099286177806559E-2</v>
      </c>
      <c r="M119" s="564">
        <f t="shared" si="61"/>
        <v>0</v>
      </c>
      <c r="N119" s="521">
        <v>0</v>
      </c>
      <c r="O119" s="241">
        <f>IFERROR((N119-K119)/K119,)</f>
        <v>-1</v>
      </c>
      <c r="P119" s="338">
        <f>IFERROR((N119-F119)/F119,)</f>
        <v>0</v>
      </c>
      <c r="Q119" s="521">
        <v>0</v>
      </c>
      <c r="R119" s="241">
        <f>IFERROR((Q119-N119)/N119,)</f>
        <v>0</v>
      </c>
      <c r="S119" s="338">
        <f>IFERROR((Q119-G119)/G119,)</f>
        <v>0</v>
      </c>
    </row>
    <row r="120" spans="2:19" ht="16.2" customHeight="1">
      <c r="B120" s="582" t="s">
        <v>426</v>
      </c>
      <c r="C120" s="583" t="s">
        <v>429</v>
      </c>
      <c r="D120" s="521">
        <v>0</v>
      </c>
      <c r="E120" s="521">
        <v>0</v>
      </c>
      <c r="F120" s="521">
        <v>0</v>
      </c>
      <c r="G120" s="521">
        <v>0</v>
      </c>
      <c r="H120" s="521">
        <v>125.925</v>
      </c>
      <c r="I120" s="561">
        <f>IFERROR((H120-G120)/G120,)</f>
        <v>0</v>
      </c>
      <c r="J120" s="564">
        <f>IFERROR((H120-D120)/D120,)</f>
        <v>0</v>
      </c>
      <c r="K120" s="906">
        <v>80.918999999999997</v>
      </c>
      <c r="L120" s="561">
        <f t="shared" si="60"/>
        <v>-0.35740321620011911</v>
      </c>
      <c r="M120" s="564">
        <f t="shared" si="61"/>
        <v>0</v>
      </c>
      <c r="N120" s="521">
        <v>0</v>
      </c>
      <c r="O120" s="566">
        <f>IFERROR((N120-K120)/K120,)</f>
        <v>-1</v>
      </c>
      <c r="P120" s="567">
        <f>IFERROR((N120-F120)/F120,)</f>
        <v>0</v>
      </c>
      <c r="Q120" s="521">
        <v>0</v>
      </c>
      <c r="R120" s="566">
        <f>IFERROR((Q120-N120)/N120,)</f>
        <v>0</v>
      </c>
      <c r="S120" s="338">
        <f>IFERROR((Q120-G120)/G120,)</f>
        <v>0</v>
      </c>
    </row>
    <row r="121" spans="2:19" ht="16.2" customHeight="1">
      <c r="B121" s="601" t="s">
        <v>512</v>
      </c>
      <c r="C121" s="593"/>
      <c r="D121" s="594"/>
      <c r="E121" s="594"/>
      <c r="F121" s="594"/>
      <c r="G121" s="595"/>
      <c r="H121" s="594"/>
      <c r="I121" s="602"/>
      <c r="J121" s="603"/>
      <c r="K121" s="986"/>
      <c r="L121" s="602" t="s">
        <v>456</v>
      </c>
      <c r="M121" s="603" t="s">
        <v>456</v>
      </c>
      <c r="N121" s="594"/>
      <c r="O121" s="608"/>
      <c r="P121" s="609"/>
      <c r="Q121" s="594"/>
      <c r="R121" s="608"/>
      <c r="S121" s="609"/>
    </row>
    <row r="122" spans="2:19" ht="16.2" customHeight="1">
      <c r="B122" s="582" t="s">
        <v>425</v>
      </c>
      <c r="C122" s="583" t="s">
        <v>212</v>
      </c>
      <c r="D122" s="521">
        <v>0</v>
      </c>
      <c r="E122" s="521">
        <v>0</v>
      </c>
      <c r="F122" s="521">
        <v>0</v>
      </c>
      <c r="G122" s="512">
        <v>0</v>
      </c>
      <c r="H122" s="521">
        <v>299.536</v>
      </c>
      <c r="I122" s="561">
        <f>IFERROR((H122-G122)/G122,)</f>
        <v>0</v>
      </c>
      <c r="J122" s="564">
        <f>IFERROR((H122-D122)/D122,)</f>
        <v>0</v>
      </c>
      <c r="K122" s="906">
        <v>1815.2570000000001</v>
      </c>
      <c r="L122" s="561">
        <f t="shared" si="60"/>
        <v>5.0602298221248869</v>
      </c>
      <c r="M122" s="564">
        <f t="shared" si="61"/>
        <v>0</v>
      </c>
      <c r="N122" s="521">
        <v>0</v>
      </c>
      <c r="O122" s="241">
        <f>IFERROR((N122-K122)/K122,)</f>
        <v>-1</v>
      </c>
      <c r="P122" s="338">
        <f>IFERROR((N122-F122)/F122,)</f>
        <v>0</v>
      </c>
      <c r="Q122" s="521">
        <v>0</v>
      </c>
      <c r="R122" s="241">
        <f>IFERROR((Q122-N122)/N122,)</f>
        <v>0</v>
      </c>
      <c r="S122" s="338">
        <f>IFERROR((Q122-G122)/G122,)</f>
        <v>0</v>
      </c>
    </row>
    <row r="123" spans="2:19" ht="16.2" customHeight="1">
      <c r="B123" s="611" t="s">
        <v>426</v>
      </c>
      <c r="C123" s="763" t="s">
        <v>429</v>
      </c>
      <c r="D123" s="573">
        <v>0</v>
      </c>
      <c r="E123" s="573">
        <v>0</v>
      </c>
      <c r="F123" s="573">
        <v>0</v>
      </c>
      <c r="G123" s="573">
        <v>0</v>
      </c>
      <c r="H123" s="573">
        <v>19.741</v>
      </c>
      <c r="I123" s="562">
        <f>IFERROR((H123-G123)/G123,)</f>
        <v>0</v>
      </c>
      <c r="J123" s="565">
        <f>IFERROR((H123-D123)/D123,)</f>
        <v>0</v>
      </c>
      <c r="K123" s="987">
        <v>226.48399999999998</v>
      </c>
      <c r="L123" s="562">
        <f t="shared" si="60"/>
        <v>10.472772402613849</v>
      </c>
      <c r="M123" s="565">
        <f t="shared" si="61"/>
        <v>0</v>
      </c>
      <c r="N123" s="573">
        <v>0</v>
      </c>
      <c r="O123" s="566">
        <f>IFERROR((N123-K123)/K123,)</f>
        <v>-1</v>
      </c>
      <c r="P123" s="567">
        <f>IFERROR((N123-F123)/F123,)</f>
        <v>0</v>
      </c>
      <c r="Q123" s="573">
        <v>0</v>
      </c>
      <c r="R123" s="566">
        <f>IFERROR((Q123-N123)/N123,)</f>
        <v>0</v>
      </c>
      <c r="S123" s="567">
        <f>IFERROR((Q123-G123)/G123,)</f>
        <v>0</v>
      </c>
    </row>
    <row r="124" spans="2:19" ht="16.2" customHeight="1">
      <c r="B124" s="8" t="s">
        <v>431</v>
      </c>
    </row>
  </sheetData>
  <mergeCells count="1">
    <mergeCell ref="H42:J42"/>
  </mergeCells>
  <phoneticPr fontId="3" type="noConversion"/>
  <conditionalFormatting sqref="D1:G1 I1:S1">
    <cfRule type="cellIs" dxfId="400" priority="124" operator="equal">
      <formula>0</formula>
    </cfRule>
  </conditionalFormatting>
  <conditionalFormatting sqref="D44:H44 K44 N44:XFD44">
    <cfRule type="cellIs" dxfId="399" priority="57" operator="equal">
      <formula>FALSE</formula>
    </cfRule>
  </conditionalFormatting>
  <conditionalFormatting sqref="D25:S25">
    <cfRule type="cellIs" dxfId="398" priority="123" operator="equal">
      <formula>0</formula>
    </cfRule>
  </conditionalFormatting>
  <conditionalFormatting sqref="D45:S45">
    <cfRule type="cellIs" dxfId="397" priority="122" operator="equal">
      <formula>0</formula>
    </cfRule>
  </conditionalFormatting>
  <conditionalFormatting sqref="G91">
    <cfRule type="cellIs" dxfId="396" priority="62" operator="equal">
      <formula>0</formula>
    </cfRule>
  </conditionalFormatting>
  <conditionalFormatting sqref="I4:J23 O4:P23 R4:S23 L4:M24 H24:K24 N24:S24 I27:J41 L27:M43 O27:P44 R27:S44 I47:J62 L47:M62 O47:P62 R47:S62 H63:S63 H90:S91 N103:S108 L103:M123 O109:P123 R109:S123 N112:S114 I124:S126 H127:S1048576">
    <cfRule type="cellIs" dxfId="395" priority="125" operator="lessThan">
      <formula>0</formula>
    </cfRule>
    <cfRule type="cellIs" dxfId="394" priority="126" operator="greaterThan">
      <formula>0</formula>
    </cfRule>
  </conditionalFormatting>
  <conditionalFormatting sqref="I43:J43">
    <cfRule type="cellIs" dxfId="393" priority="204" operator="lessThan">
      <formula>0</formula>
    </cfRule>
    <cfRule type="cellIs" dxfId="392" priority="205" operator="greaterThan">
      <formula>0</formula>
    </cfRule>
  </conditionalFormatting>
  <conditionalFormatting sqref="I65:J89">
    <cfRule type="cellIs" dxfId="391" priority="79" operator="lessThan">
      <formula>0</formula>
    </cfRule>
    <cfRule type="cellIs" dxfId="390" priority="80" operator="greaterThan">
      <formula>0</formula>
    </cfRule>
  </conditionalFormatting>
  <conditionalFormatting sqref="L65:M89">
    <cfRule type="cellIs" dxfId="389" priority="65" operator="lessThan">
      <formula>0</formula>
    </cfRule>
    <cfRule type="cellIs" dxfId="388" priority="66" operator="greaterThan">
      <formula>0</formula>
    </cfRule>
  </conditionalFormatting>
  <conditionalFormatting sqref="L93:S102 I93:J123">
    <cfRule type="cellIs" dxfId="387" priority="7" operator="lessThan">
      <formula>0</formula>
    </cfRule>
    <cfRule type="cellIs" dxfId="386" priority="8" operator="greaterThan">
      <formula>0</formula>
    </cfRule>
  </conditionalFormatting>
  <conditionalFormatting sqref="O65:P89">
    <cfRule type="cellIs" dxfId="385" priority="75" operator="lessThan">
      <formula>0</formula>
    </cfRule>
    <cfRule type="cellIs" dxfId="384" priority="76" operator="greaterThan">
      <formula>0</formula>
    </cfRule>
  </conditionalFormatting>
  <conditionalFormatting sqref="R65:S89">
    <cfRule type="cellIs" dxfId="383" priority="31" operator="lessThan">
      <formula>0</formula>
    </cfRule>
    <cfRule type="cellIs" dxfId="382" priority="32" operator="greaterThan">
      <formula>0</formula>
    </cfRule>
  </conditionalFormatting>
  <pageMargins left="0.23622047244094491" right="0.23622047244094491" top="0.74803149606299213" bottom="0.74803149606299213" header="0.31496062992125984" footer="0.31496062992125984"/>
  <pageSetup paperSize="9" scale="82" fitToHeight="0" orientation="portrait" r:id="rId1"/>
  <rowBreaks count="1" manualBreakCount="1">
    <brk id="3"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90E22C-2E55-46D1-BB6E-6DC415AE025E}">
  <sheetPr>
    <pageSetUpPr fitToPage="1"/>
  </sheetPr>
  <dimension ref="A1:CY108"/>
  <sheetViews>
    <sheetView showGridLines="0" view="pageBreakPreview" zoomScaleNormal="100" zoomScaleSheetLayoutView="100" workbookViewId="0">
      <pane xSplit="3" ySplit="2" topLeftCell="CG3" activePane="bottomRight" state="frozen"/>
      <selection pane="topRight" activeCell="D1" sqref="D1"/>
      <selection pane="bottomLeft" activeCell="A3" sqref="A3"/>
      <selection pane="bottomRight" activeCell="CK36" sqref="CK36"/>
    </sheetView>
  </sheetViews>
  <sheetFormatPr defaultColWidth="8.69921875" defaultRowHeight="16.2" customHeight="1" outlineLevelRow="1" outlineLevelCol="1"/>
  <cols>
    <col min="1" max="1" width="2.796875" style="141" bestFit="1" customWidth="1"/>
    <col min="2" max="2" width="14.19921875" style="3" customWidth="1"/>
    <col min="3" max="3" width="26.69921875" style="3" bestFit="1" customWidth="1"/>
    <col min="4" max="8" width="9.19921875" style="297" hidden="1" customWidth="1" outlineLevel="1"/>
    <col min="9" max="10" width="5.69921875" style="298" hidden="1" customWidth="1" outlineLevel="1"/>
    <col min="11" max="11" width="9.19921875" style="297" hidden="1" customWidth="1" outlineLevel="1"/>
    <col min="12" max="13" width="5.69921875" style="298" hidden="1" customWidth="1" outlineLevel="1"/>
    <col min="14" max="14" width="9.19921875" style="297" hidden="1" customWidth="1" outlineLevel="1"/>
    <col min="15" max="16" width="5.69921875" style="298" hidden="1" customWidth="1" outlineLevel="1"/>
    <col min="17" max="17" width="9.19921875" style="297" hidden="1" customWidth="1" outlineLevel="1"/>
    <col min="18" max="19" width="5.69921875" style="298" hidden="1" customWidth="1" outlineLevel="1"/>
    <col min="20" max="20" width="9.19921875" style="297" hidden="1" customWidth="1" outlineLevel="1"/>
    <col min="21" max="22" width="5.69921875" style="298" hidden="1" customWidth="1" outlineLevel="1"/>
    <col min="23" max="23" width="9.19921875" style="297" hidden="1" customWidth="1" outlineLevel="1"/>
    <col min="24" max="25" width="5.69921875" style="298" hidden="1" customWidth="1" outlineLevel="1"/>
    <col min="26" max="26" width="9.19921875" style="297" hidden="1" customWidth="1" outlineLevel="1"/>
    <col min="27" max="28" width="5.69921875" style="298" hidden="1" customWidth="1" outlineLevel="1"/>
    <col min="29" max="29" width="9.19921875" style="297" hidden="1" customWidth="1" outlineLevel="1"/>
    <col min="30" max="31" width="5.69921875" style="298" hidden="1" customWidth="1" outlineLevel="1"/>
    <col min="32" max="32" width="9.19921875" style="297" hidden="1" customWidth="1" outlineLevel="1"/>
    <col min="33" max="34" width="5.69921875" style="298" hidden="1" customWidth="1" outlineLevel="1"/>
    <col min="35" max="35" width="9.19921875" style="297" hidden="1" customWidth="1" outlineLevel="1"/>
    <col min="36" max="37" width="5.69921875" style="298" hidden="1" customWidth="1" outlineLevel="1"/>
    <col min="38" max="38" width="9.19921875" style="297" hidden="1" customWidth="1" outlineLevel="1"/>
    <col min="39" max="40" width="5.69921875" style="298" hidden="1" customWidth="1" outlineLevel="1"/>
    <col min="41" max="41" width="9.19921875" style="297" hidden="1" customWidth="1" outlineLevel="1"/>
    <col min="42" max="43" width="5.69921875" style="298" hidden="1" customWidth="1" outlineLevel="1"/>
    <col min="44" max="44" width="9.19921875" style="297" hidden="1" customWidth="1" outlineLevel="1"/>
    <col min="45" max="46" width="5.69921875" style="298" hidden="1" customWidth="1" outlineLevel="1"/>
    <col min="47" max="47" width="9.19921875" style="297" hidden="1" customWidth="1" outlineLevel="1"/>
    <col min="48" max="49" width="5.69921875" style="298" hidden="1" customWidth="1" outlineLevel="1"/>
    <col min="50" max="50" width="9.19921875" style="297" hidden="1" customWidth="1" outlineLevel="1"/>
    <col min="51" max="52" width="5.69921875" style="298" hidden="1" customWidth="1" outlineLevel="1"/>
    <col min="53" max="53" width="9.19921875" style="297" hidden="1" customWidth="1" outlineLevel="1"/>
    <col min="54" max="54" width="5.69921875" style="298" hidden="1" customWidth="1" outlineLevel="1"/>
    <col min="55" max="55" width="5.3984375" style="298" hidden="1" customWidth="1" outlineLevel="1"/>
    <col min="56" max="56" width="9.19921875" style="297" hidden="1" customWidth="1" outlineLevel="1"/>
    <col min="57" max="58" width="5.69921875" style="298" hidden="1" customWidth="1" outlineLevel="1"/>
    <col min="59" max="59" width="9.19921875" style="297" hidden="1" customWidth="1" outlineLevel="1"/>
    <col min="60" max="61" width="5.69921875" style="298" hidden="1" customWidth="1" outlineLevel="1"/>
    <col min="62" max="62" width="9.19921875" style="297" hidden="1" customWidth="1" outlineLevel="1"/>
    <col min="63" max="64" width="5.69921875" style="298" hidden="1" customWidth="1" outlineLevel="1"/>
    <col min="65" max="65" width="9.19921875" style="297" hidden="1" customWidth="1" outlineLevel="1"/>
    <col min="66" max="67" width="5.69921875" style="298" hidden="1" customWidth="1" outlineLevel="1"/>
    <col min="68" max="68" width="9.19921875" style="297" customWidth="1" collapsed="1"/>
    <col min="69" max="70" width="5.69921875" style="298" customWidth="1"/>
    <col min="71" max="71" width="9.19921875" style="297" customWidth="1"/>
    <col min="72" max="73" width="5.69921875" style="298" customWidth="1"/>
    <col min="74" max="74" width="9.19921875" style="297" customWidth="1"/>
    <col min="75" max="76" width="5.69921875" style="298" customWidth="1"/>
    <col min="77" max="77" width="9.19921875" style="297" customWidth="1"/>
    <col min="78" max="79" width="5.69921875" style="298" customWidth="1"/>
    <col min="80" max="80" width="9.19921875" style="297" customWidth="1"/>
    <col min="81" max="82" width="5.69921875" style="298" customWidth="1"/>
    <col min="83" max="83" width="9.19921875" style="297" customWidth="1"/>
    <col min="84" max="85" width="5.69921875" style="298" customWidth="1"/>
    <col min="86" max="86" width="10.19921875" style="297" bestFit="1" customWidth="1"/>
    <col min="87" max="88" width="5.69921875" style="298" customWidth="1"/>
    <col min="89" max="89" width="9.19921875" style="297" customWidth="1"/>
    <col min="90" max="91" width="5.69921875" style="298" customWidth="1"/>
    <col min="92" max="92" width="9.19921875" style="297" customWidth="1"/>
    <col min="93" max="93" width="5.796875" style="298" customWidth="1"/>
    <col min="94" max="94" width="5.69921875" style="298" customWidth="1"/>
    <col min="95" max="95" width="9.19921875" style="297" customWidth="1"/>
    <col min="96" max="96" width="5.796875" style="298" customWidth="1"/>
    <col min="97" max="97" width="5.69921875" style="298" customWidth="1"/>
    <col min="98" max="98" width="10.19921875" style="297" hidden="1" customWidth="1"/>
    <col min="99" max="99" width="5.796875" style="298" hidden="1" customWidth="1"/>
    <col min="100" max="100" width="5.69921875" style="298" hidden="1" customWidth="1"/>
    <col min="101" max="101" width="9.19921875" style="297" hidden="1" customWidth="1"/>
    <col min="102" max="102" width="5.796875" style="298" hidden="1" customWidth="1"/>
    <col min="103" max="103" width="5.69921875" style="298" hidden="1" customWidth="1"/>
    <col min="104" max="16384" width="8.69921875" style="3"/>
  </cols>
  <sheetData>
    <row r="1" spans="1:103" ht="16.2" customHeight="1" thickBot="1">
      <c r="A1" s="142"/>
      <c r="B1" s="1" t="s">
        <v>224</v>
      </c>
      <c r="C1" s="1"/>
      <c r="BY1" s="297" t="s">
        <v>315</v>
      </c>
    </row>
    <row r="2" spans="1:103" s="1" customFormat="1" ht="16.2" customHeight="1">
      <c r="A2" s="141">
        <v>1</v>
      </c>
      <c r="B2" s="95" t="s">
        <v>402</v>
      </c>
      <c r="C2" s="96" t="s">
        <v>404</v>
      </c>
      <c r="D2" s="498" t="s">
        <v>293</v>
      </c>
      <c r="E2" s="499" t="s">
        <v>294</v>
      </c>
      <c r="F2" s="499" t="s">
        <v>295</v>
      </c>
      <c r="G2" s="500" t="s">
        <v>296</v>
      </c>
      <c r="H2" s="299" t="s">
        <v>297</v>
      </c>
      <c r="I2" s="300" t="s">
        <v>1</v>
      </c>
      <c r="J2" s="301" t="s">
        <v>0</v>
      </c>
      <c r="K2" s="302" t="s">
        <v>298</v>
      </c>
      <c r="L2" s="300" t="s">
        <v>1</v>
      </c>
      <c r="M2" s="301" t="s">
        <v>0</v>
      </c>
      <c r="N2" s="302" t="s">
        <v>299</v>
      </c>
      <c r="O2" s="300" t="s">
        <v>1</v>
      </c>
      <c r="P2" s="301" t="s">
        <v>0</v>
      </c>
      <c r="Q2" s="302" t="s">
        <v>300</v>
      </c>
      <c r="R2" s="300" t="s">
        <v>1</v>
      </c>
      <c r="S2" s="303" t="s">
        <v>0</v>
      </c>
      <c r="T2" s="299" t="s">
        <v>301</v>
      </c>
      <c r="U2" s="300" t="s">
        <v>1</v>
      </c>
      <c r="V2" s="301" t="s">
        <v>0</v>
      </c>
      <c r="W2" s="302" t="s">
        <v>302</v>
      </c>
      <c r="X2" s="300" t="s">
        <v>1</v>
      </c>
      <c r="Y2" s="301" t="s">
        <v>0</v>
      </c>
      <c r="Z2" s="302" t="s">
        <v>303</v>
      </c>
      <c r="AA2" s="300" t="s">
        <v>1</v>
      </c>
      <c r="AB2" s="301" t="s">
        <v>0</v>
      </c>
      <c r="AC2" s="302" t="s">
        <v>304</v>
      </c>
      <c r="AD2" s="300" t="s">
        <v>1</v>
      </c>
      <c r="AE2" s="303" t="s">
        <v>0</v>
      </c>
      <c r="AF2" s="299" t="s">
        <v>305</v>
      </c>
      <c r="AG2" s="300" t="s">
        <v>1</v>
      </c>
      <c r="AH2" s="301" t="s">
        <v>0</v>
      </c>
      <c r="AI2" s="302" t="s">
        <v>306</v>
      </c>
      <c r="AJ2" s="300" t="s">
        <v>1</v>
      </c>
      <c r="AK2" s="301" t="s">
        <v>0</v>
      </c>
      <c r="AL2" s="302" t="s">
        <v>307</v>
      </c>
      <c r="AM2" s="300" t="s">
        <v>1</v>
      </c>
      <c r="AN2" s="301" t="s">
        <v>0</v>
      </c>
      <c r="AO2" s="302" t="s">
        <v>308</v>
      </c>
      <c r="AP2" s="300" t="s">
        <v>1</v>
      </c>
      <c r="AQ2" s="303" t="s">
        <v>0</v>
      </c>
      <c r="AR2" s="299" t="s">
        <v>282</v>
      </c>
      <c r="AS2" s="300" t="s">
        <v>1</v>
      </c>
      <c r="AT2" s="301" t="s">
        <v>0</v>
      </c>
      <c r="AU2" s="302" t="s">
        <v>283</v>
      </c>
      <c r="AV2" s="300" t="s">
        <v>1</v>
      </c>
      <c r="AW2" s="301" t="s">
        <v>0</v>
      </c>
      <c r="AX2" s="302" t="s">
        <v>284</v>
      </c>
      <c r="AY2" s="300" t="s">
        <v>1</v>
      </c>
      <c r="AZ2" s="301" t="s">
        <v>0</v>
      </c>
      <c r="BA2" s="302" t="s">
        <v>285</v>
      </c>
      <c r="BB2" s="300" t="s">
        <v>1</v>
      </c>
      <c r="BC2" s="303" t="s">
        <v>0</v>
      </c>
      <c r="BD2" s="299" t="s">
        <v>286</v>
      </c>
      <c r="BE2" s="300" t="s">
        <v>1</v>
      </c>
      <c r="BF2" s="301" t="s">
        <v>0</v>
      </c>
      <c r="BG2" s="302" t="s">
        <v>287</v>
      </c>
      <c r="BH2" s="300" t="s">
        <v>1</v>
      </c>
      <c r="BI2" s="301" t="s">
        <v>0</v>
      </c>
      <c r="BJ2" s="302" t="s">
        <v>288</v>
      </c>
      <c r="BK2" s="300" t="s">
        <v>1</v>
      </c>
      <c r="BL2" s="301" t="s">
        <v>0</v>
      </c>
      <c r="BM2" s="302" t="s">
        <v>289</v>
      </c>
      <c r="BN2" s="300" t="s">
        <v>1</v>
      </c>
      <c r="BO2" s="303" t="s">
        <v>0</v>
      </c>
      <c r="BP2" s="299" t="s">
        <v>197</v>
      </c>
      <c r="BQ2" s="300" t="s">
        <v>1</v>
      </c>
      <c r="BR2" s="301" t="s">
        <v>0</v>
      </c>
      <c r="BS2" s="302" t="s">
        <v>215</v>
      </c>
      <c r="BT2" s="300" t="s">
        <v>1</v>
      </c>
      <c r="BU2" s="301" t="s">
        <v>0</v>
      </c>
      <c r="BV2" s="302" t="s">
        <v>216</v>
      </c>
      <c r="BW2" s="300" t="s">
        <v>1</v>
      </c>
      <c r="BX2" s="301" t="s">
        <v>0</v>
      </c>
      <c r="BY2" s="302" t="s">
        <v>217</v>
      </c>
      <c r="BZ2" s="300" t="s">
        <v>1</v>
      </c>
      <c r="CA2" s="303" t="s">
        <v>0</v>
      </c>
      <c r="CB2" s="299" t="s">
        <v>244</v>
      </c>
      <c r="CC2" s="300" t="s">
        <v>1</v>
      </c>
      <c r="CD2" s="301" t="s">
        <v>0</v>
      </c>
      <c r="CE2" s="302" t="s">
        <v>325</v>
      </c>
      <c r="CF2" s="300" t="s">
        <v>1</v>
      </c>
      <c r="CG2" s="301" t="s">
        <v>0</v>
      </c>
      <c r="CH2" s="302" t="s">
        <v>355</v>
      </c>
      <c r="CI2" s="300" t="s">
        <v>1</v>
      </c>
      <c r="CJ2" s="301" t="s">
        <v>0</v>
      </c>
      <c r="CK2" s="302" t="s">
        <v>453</v>
      </c>
      <c r="CL2" s="300" t="s">
        <v>1</v>
      </c>
      <c r="CM2" s="303" t="s">
        <v>0</v>
      </c>
      <c r="CN2" s="299" t="s">
        <v>474</v>
      </c>
      <c r="CO2" s="300" t="s">
        <v>1</v>
      </c>
      <c r="CP2" s="301" t="s">
        <v>0</v>
      </c>
      <c r="CQ2" s="302" t="s">
        <v>475</v>
      </c>
      <c r="CR2" s="300" t="s">
        <v>1</v>
      </c>
      <c r="CS2" s="301" t="s">
        <v>0</v>
      </c>
      <c r="CT2" s="302" t="s">
        <v>476</v>
      </c>
      <c r="CU2" s="300" t="s">
        <v>1</v>
      </c>
      <c r="CV2" s="301" t="s">
        <v>0</v>
      </c>
      <c r="CW2" s="302" t="s">
        <v>477</v>
      </c>
      <c r="CX2" s="300" t="s">
        <v>1</v>
      </c>
      <c r="CY2" s="303" t="s">
        <v>0</v>
      </c>
    </row>
    <row r="3" spans="1:103" s="1" customFormat="1" ht="16.2" customHeight="1">
      <c r="A3" s="141">
        <f>A2+1</f>
        <v>2</v>
      </c>
      <c r="B3" s="97" t="s">
        <v>45</v>
      </c>
      <c r="C3" s="98" t="s">
        <v>46</v>
      </c>
      <c r="D3" s="472">
        <v>1185.4449999999999</v>
      </c>
      <c r="E3" s="473">
        <v>1547.4580000000001</v>
      </c>
      <c r="F3" s="473">
        <v>1799.5840000000001</v>
      </c>
      <c r="G3" s="304">
        <v>1656.461</v>
      </c>
      <c r="H3" s="305">
        <v>1503.5239999999999</v>
      </c>
      <c r="I3" s="306">
        <f t="shared" ref="I3:I13" si="0">H3/G3-1</f>
        <v>-9.2327558572160795E-2</v>
      </c>
      <c r="J3" s="307">
        <f t="shared" ref="J3:J36" si="1">IFERROR(H3/D3-1,)</f>
        <v>0.2683203354014736</v>
      </c>
      <c r="K3" s="308">
        <v>2373.5590000000002</v>
      </c>
      <c r="L3" s="306">
        <f t="shared" ref="L3:L13" si="2">K3/H3-1</f>
        <v>0.57866385904049444</v>
      </c>
      <c r="M3" s="307">
        <f t="shared" ref="M3:M36" si="3">IFERROR(K3/E3-1,)</f>
        <v>0.53384389107814245</v>
      </c>
      <c r="N3" s="308">
        <v>1724.732</v>
      </c>
      <c r="O3" s="306">
        <f t="shared" ref="O3:O29" si="4">N3/K3-1</f>
        <v>-0.2733561710494663</v>
      </c>
      <c r="P3" s="307">
        <f t="shared" ref="P3:P36" si="5">IFERROR(N3/F3-1,)</f>
        <v>-4.1594057293241171E-2</v>
      </c>
      <c r="Q3" s="308">
        <v>2138.2089999999998</v>
      </c>
      <c r="R3" s="306">
        <f t="shared" ref="R3:R29" si="6">Q3/N3-1</f>
        <v>0.23973405723323959</v>
      </c>
      <c r="S3" s="309">
        <f t="shared" ref="S3:S36" si="7">IFERROR(Q3/G3-1,)</f>
        <v>0.29082966637910568</v>
      </c>
      <c r="T3" s="305">
        <v>1475.0540000000001</v>
      </c>
      <c r="U3" s="306">
        <f t="shared" ref="U3:U13" si="8">T3/Q3-1</f>
        <v>-0.31014507936314917</v>
      </c>
      <c r="V3" s="307">
        <f t="shared" ref="V3:V36" si="9">IFERROR(T3/H3-1,)</f>
        <v>-1.8935514165387302E-2</v>
      </c>
      <c r="W3" s="308">
        <v>2392.1410000000001</v>
      </c>
      <c r="X3" s="306">
        <f t="shared" ref="X3:X13" si="10">W3/T3-1</f>
        <v>0.62173113662279489</v>
      </c>
      <c r="Y3" s="307">
        <f t="shared" ref="Y3:Y36" si="11">IFERROR(W3/K3-1,)</f>
        <v>7.8287499910472125E-3</v>
      </c>
      <c r="Z3" s="308">
        <v>1546.5609999999999</v>
      </c>
      <c r="AA3" s="306">
        <f t="shared" ref="AA3:AA13" si="12">Z3/W3-1</f>
        <v>-0.35348250792908953</v>
      </c>
      <c r="AB3" s="307">
        <f t="shared" ref="AB3:AB36" si="13">IFERROR(Z3/N3-1,)</f>
        <v>-0.10330358571650555</v>
      </c>
      <c r="AC3" s="308">
        <v>2952.8919999999998</v>
      </c>
      <c r="AD3" s="306">
        <f t="shared" ref="AD3:AD13" si="14">AC3/Z3-1</f>
        <v>0.90932785709713349</v>
      </c>
      <c r="AE3" s="309">
        <f t="shared" ref="AE3:AE36" si="15">IFERROR(AC3/Q3-1,)</f>
        <v>0.38101186553793398</v>
      </c>
      <c r="AF3" s="305">
        <v>2328.0590000000002</v>
      </c>
      <c r="AG3" s="306">
        <f t="shared" ref="AG3:AG13" si="16">AF3/AC3-1</f>
        <v>-0.21160035653183373</v>
      </c>
      <c r="AH3" s="307">
        <f t="shared" ref="AH3:AH36" si="17">IFERROR(AF3/T3-1,)</f>
        <v>0.57828730338007972</v>
      </c>
      <c r="AI3" s="308">
        <v>2349.0909999999999</v>
      </c>
      <c r="AJ3" s="306">
        <f t="shared" ref="AJ3:AJ13" si="18">AI3/AF3-1</f>
        <v>9.0341353032719063E-3</v>
      </c>
      <c r="AK3" s="307">
        <f t="shared" ref="AK3:AK36" si="19">IFERROR(AI3/W3-1,)</f>
        <v>-1.7996430812397879E-2</v>
      </c>
      <c r="AL3" s="308">
        <v>2428.395</v>
      </c>
      <c r="AM3" s="306">
        <f t="shared" ref="AM3:AM13" si="20">AL3/AI3-1</f>
        <v>3.3759441417978264E-2</v>
      </c>
      <c r="AN3" s="307">
        <f t="shared" ref="AN3:AN36" si="21">IFERROR(AL3/Z3-1,)</f>
        <v>0.57019024791133366</v>
      </c>
      <c r="AO3" s="308">
        <v>2031.9</v>
      </c>
      <c r="AP3" s="306">
        <f t="shared" ref="AP3:AP13" si="22">AO3/AL3-1</f>
        <v>-0.16327450847164482</v>
      </c>
      <c r="AQ3" s="309">
        <f t="shared" ref="AQ3:AQ36" si="23">IFERROR(AO3/AC3-1,)</f>
        <v>-0.31189491522209412</v>
      </c>
      <c r="AR3" s="305">
        <v>2562.6559999999999</v>
      </c>
      <c r="AS3" s="306">
        <f t="shared" ref="AS3:AS13" si="24">AR3/AO3-1</f>
        <v>0.26121167380284449</v>
      </c>
      <c r="AT3" s="307">
        <f t="shared" ref="AT3:AT36" si="25">IFERROR(AR3/AF3-1,)</f>
        <v>0.10076935335401704</v>
      </c>
      <c r="AU3" s="308">
        <f>(2546211-40)/1000</f>
        <v>2546.1709999999998</v>
      </c>
      <c r="AV3" s="306">
        <f t="shared" ref="AV3:AV13" si="26">AU3/AR3-1</f>
        <v>-6.4327791166665094E-3</v>
      </c>
      <c r="AW3" s="307">
        <f t="shared" ref="AW3:AW36" si="27">IFERROR(AU3/AI3-1,)</f>
        <v>8.3896281582961141E-2</v>
      </c>
      <c r="AX3" s="308">
        <v>2828.20318</v>
      </c>
      <c r="AY3" s="306">
        <f t="shared" ref="AY3:AY13" si="28">AX3/AU3-1</f>
        <v>0.11076717942353453</v>
      </c>
      <c r="AZ3" s="307">
        <f t="shared" ref="AZ3:AZ36" si="29">IFERROR(AX3/AL3-1,)</f>
        <v>0.16463885817587331</v>
      </c>
      <c r="BA3" s="308">
        <v>2085.9335980000001</v>
      </c>
      <c r="BB3" s="306">
        <f t="shared" ref="BB3:BB13" si="30">BA3/AX3-1</f>
        <v>-0.26245270751728667</v>
      </c>
      <c r="BC3" s="309">
        <f t="shared" ref="BC3:BC36" si="31">IFERROR(BA3/AO3-1,)</f>
        <v>2.6592646291648148E-2</v>
      </c>
      <c r="BD3" s="305">
        <v>2200.024531</v>
      </c>
      <c r="BE3" s="306">
        <f>BD3/G3-1</f>
        <v>0.32814749698302581</v>
      </c>
      <c r="BF3" s="307">
        <f>IFERROR(BD3/D3-1,)</f>
        <v>0.85586385787615638</v>
      </c>
      <c r="BG3" s="308">
        <v>2437.2018930000004</v>
      </c>
      <c r="BH3" s="306">
        <f t="shared" ref="BH3:BH13" si="32">BG3/BD3-1</f>
        <v>0.1078066897245884</v>
      </c>
      <c r="BI3" s="307">
        <f>IFERROR(BG3/E3-1,)</f>
        <v>0.57497127094887235</v>
      </c>
      <c r="BJ3" s="308">
        <v>2533.015997</v>
      </c>
      <c r="BK3" s="306">
        <f t="shared" ref="BK3:BK13" si="33">BJ3/BG3-1</f>
        <v>3.9313158370339218E-2</v>
      </c>
      <c r="BL3" s="307">
        <f>IFERROR(BJ3/F3-1,)</f>
        <v>0.40755641137062781</v>
      </c>
      <c r="BM3" s="308">
        <v>2500.8490000000002</v>
      </c>
      <c r="BN3" s="306">
        <f t="shared" ref="BN3:BN13" si="34">BM3/BJ3-1</f>
        <v>-1.2699089558888321E-2</v>
      </c>
      <c r="BO3" s="309">
        <f>IFERROR(BM3/G3-1,)</f>
        <v>0.50975422904614121</v>
      </c>
      <c r="BP3" s="305">
        <v>2749.2179999999998</v>
      </c>
      <c r="BQ3" s="306">
        <f t="shared" ref="BQ3:BQ30" si="35">BP3/BM3-1</f>
        <v>9.9313873008726183E-2</v>
      </c>
      <c r="BR3" s="307">
        <f t="shared" ref="BR3:BR30" si="36">IFERROR(BP3/BD3-1,)</f>
        <v>0.24963061150521315</v>
      </c>
      <c r="BS3" s="308">
        <v>2864.951</v>
      </c>
      <c r="BT3" s="306">
        <f t="shared" ref="BT3:BT13" si="37">BS3/BP3-1</f>
        <v>4.2096698042861647E-2</v>
      </c>
      <c r="BU3" s="307">
        <f t="shared" ref="BU3:BU31" si="38">IFERROR(BS3/BG3-1,)</f>
        <v>0.175508277844588</v>
      </c>
      <c r="BV3" s="308">
        <v>3187.89</v>
      </c>
      <c r="BW3" s="306">
        <f t="shared" ref="BW3:BW13" si="39">BV3/BS3-1</f>
        <v>0.11272060150417929</v>
      </c>
      <c r="BX3" s="307">
        <f t="shared" ref="BX3:BX32" si="40">IFERROR(BV3/BJ3-1,)</f>
        <v>0.25853528117295976</v>
      </c>
      <c r="BY3" s="308">
        <v>3684.0839999999998</v>
      </c>
      <c r="BZ3" s="306">
        <f t="shared" ref="BZ3:BZ13" si="41">BY3/BV3-1</f>
        <v>0.15564966168845218</v>
      </c>
      <c r="CA3" s="309">
        <f t="shared" ref="CA3:CA32" si="42">IFERROR(BY3/BM3-1,)</f>
        <v>0.47313332392319563</v>
      </c>
      <c r="CB3" s="460">
        <v>3882</v>
      </c>
      <c r="CC3" s="306">
        <f t="shared" ref="CC3:CC32" si="43">CB3/BY3-1</f>
        <v>5.3721902106466768E-2</v>
      </c>
      <c r="CD3" s="307">
        <f t="shared" ref="CD3:CD36" si="44">IFERROR(CB3/BP3-1,)</f>
        <v>0.41203789586711581</v>
      </c>
      <c r="CE3" s="308">
        <v>3776.7</v>
      </c>
      <c r="CF3" s="306">
        <f t="shared" ref="CF3:CF11" si="45">IFERROR(CE3/CB3-1,)</f>
        <v>-2.7125193199381781E-2</v>
      </c>
      <c r="CG3" s="307">
        <f t="shared" ref="CG3:CG8" si="46">IFERROR(CE3/BS3-1,)</f>
        <v>0.31824244114471756</v>
      </c>
      <c r="CH3" s="308">
        <v>4117.8119999999999</v>
      </c>
      <c r="CI3" s="306">
        <f t="shared" ref="CI3:CI8" si="47">CH3/CE3-1</f>
        <v>9.0320120740328802E-2</v>
      </c>
      <c r="CJ3" s="307">
        <f t="shared" ref="CJ3:CJ8" si="48">IFERROR(CH3/BV3-1,)</f>
        <v>0.29170454438515758</v>
      </c>
      <c r="CK3" s="308">
        <v>3877.4949999999999</v>
      </c>
      <c r="CL3" s="306">
        <f t="shared" ref="CL3:CL8" si="49">CK3/CH3-1</f>
        <v>-5.8360362250632125E-2</v>
      </c>
      <c r="CM3" s="309">
        <f t="shared" ref="CM3:CM8" si="50">IFERROR(CK3/BY3-1,)</f>
        <v>5.2499074396783696E-2</v>
      </c>
      <c r="CN3" s="460">
        <v>4469</v>
      </c>
      <c r="CO3" s="306">
        <f t="shared" ref="CO3:CO8" si="51">CN3/CK3-1</f>
        <v>0.15254823023627373</v>
      </c>
      <c r="CP3" s="307">
        <f t="shared" ref="CP3:CP8" si="52">IFERROR(CN3/CB3-1,)</f>
        <v>0.15121071612570836</v>
      </c>
      <c r="CQ3" s="308">
        <v>5539.9229999999998</v>
      </c>
      <c r="CR3" s="306">
        <f t="shared" ref="CR3:CR11" si="53">IFERROR(CQ3/CN3-1,)</f>
        <v>0.23963369881405239</v>
      </c>
      <c r="CS3" s="307">
        <f t="shared" ref="CS3:CS8" si="54">IFERROR(CQ3/CE3-1,)</f>
        <v>0.46686869489236638</v>
      </c>
      <c r="CT3" s="308">
        <v>0</v>
      </c>
      <c r="CU3" s="306">
        <f t="shared" ref="CU3:CU8" si="55">CT3/CQ3-1</f>
        <v>-1</v>
      </c>
      <c r="CV3" s="307">
        <f t="shared" ref="CV3:CV8" si="56">IFERROR(CT3/CH3-1,)</f>
        <v>-1</v>
      </c>
      <c r="CW3" s="308">
        <v>0</v>
      </c>
      <c r="CX3" s="306" t="e">
        <f t="shared" ref="CX3:CX8" si="57">CW3/CT3-1</f>
        <v>#DIV/0!</v>
      </c>
      <c r="CY3" s="309">
        <f t="shared" ref="CY3:CY8" si="58">IFERROR(CW3/CK3-1,)</f>
        <v>-1</v>
      </c>
    </row>
    <row r="4" spans="1:103" s="1" customFormat="1" ht="16.2" customHeight="1">
      <c r="A4" s="141">
        <f t="shared" ref="A4:A33" si="59">A3+1</f>
        <v>3</v>
      </c>
      <c r="B4" s="99" t="s">
        <v>53</v>
      </c>
      <c r="C4" s="98" t="s">
        <v>260</v>
      </c>
      <c r="D4" s="472">
        <v>462.74799999999999</v>
      </c>
      <c r="E4" s="473">
        <v>556.69600000000003</v>
      </c>
      <c r="F4" s="473">
        <v>411.26</v>
      </c>
      <c r="G4" s="304">
        <v>98.063999999999993</v>
      </c>
      <c r="H4" s="305">
        <v>319.90499999999997</v>
      </c>
      <c r="I4" s="306">
        <f t="shared" si="0"/>
        <v>2.262206314243759</v>
      </c>
      <c r="J4" s="307">
        <f t="shared" si="1"/>
        <v>-0.30868420825157539</v>
      </c>
      <c r="K4" s="308">
        <v>549.64499999999998</v>
      </c>
      <c r="L4" s="306">
        <f t="shared" si="2"/>
        <v>0.71815070098935641</v>
      </c>
      <c r="M4" s="307">
        <f t="shared" si="3"/>
        <v>-1.2665799646485731E-2</v>
      </c>
      <c r="N4" s="308">
        <v>524.95299999999997</v>
      </c>
      <c r="O4" s="306">
        <f t="shared" si="4"/>
        <v>-4.4923541558642421E-2</v>
      </c>
      <c r="P4" s="307">
        <f t="shared" si="5"/>
        <v>0.27645042065846415</v>
      </c>
      <c r="Q4" s="308">
        <v>529.09500000000003</v>
      </c>
      <c r="R4" s="306">
        <f t="shared" si="6"/>
        <v>7.8902301729870672E-3</v>
      </c>
      <c r="S4" s="309">
        <f t="shared" si="7"/>
        <v>4.3954050416054828</v>
      </c>
      <c r="T4" s="305">
        <v>401.61700000000002</v>
      </c>
      <c r="U4" s="306">
        <f t="shared" si="8"/>
        <v>-0.24093593778054978</v>
      </c>
      <c r="V4" s="307">
        <f t="shared" si="9"/>
        <v>0.25542582954314574</v>
      </c>
      <c r="W4" s="308">
        <v>651.76700000000005</v>
      </c>
      <c r="X4" s="306">
        <f t="shared" si="10"/>
        <v>0.62285710017255247</v>
      </c>
      <c r="Y4" s="307">
        <f t="shared" si="11"/>
        <v>0.18579628669413917</v>
      </c>
      <c r="Z4" s="308">
        <v>484.03699999999998</v>
      </c>
      <c r="AA4" s="306">
        <f t="shared" si="12"/>
        <v>-0.25734656710143355</v>
      </c>
      <c r="AB4" s="307">
        <f t="shared" si="13"/>
        <v>-7.794221577931737E-2</v>
      </c>
      <c r="AC4" s="308">
        <v>1577.6289999999999</v>
      </c>
      <c r="AD4" s="306">
        <f t="shared" si="14"/>
        <v>2.2593148870850781</v>
      </c>
      <c r="AE4" s="309">
        <f t="shared" si="15"/>
        <v>1.9817499692871787</v>
      </c>
      <c r="AF4" s="305">
        <v>800.79</v>
      </c>
      <c r="AG4" s="306">
        <f t="shared" si="16"/>
        <v>-0.4924091785838115</v>
      </c>
      <c r="AH4" s="307">
        <f t="shared" si="17"/>
        <v>0.9939146002285757</v>
      </c>
      <c r="AI4" s="308">
        <v>1685.097</v>
      </c>
      <c r="AJ4" s="306">
        <f t="shared" si="18"/>
        <v>1.1042932604053499</v>
      </c>
      <c r="AK4" s="307">
        <f t="shared" si="19"/>
        <v>1.585428535043965</v>
      </c>
      <c r="AL4" s="308">
        <v>1232.2919999999999</v>
      </c>
      <c r="AM4" s="306">
        <f t="shared" si="20"/>
        <v>-0.26871153411346649</v>
      </c>
      <c r="AN4" s="307">
        <f t="shared" si="21"/>
        <v>1.5458632294638632</v>
      </c>
      <c r="AO4" s="308">
        <v>982.41399999999999</v>
      </c>
      <c r="AP4" s="306">
        <f t="shared" si="22"/>
        <v>-0.20277499164159141</v>
      </c>
      <c r="AQ4" s="309">
        <f t="shared" si="23"/>
        <v>-0.37728451999804768</v>
      </c>
      <c r="AR4" s="305">
        <v>1092.835</v>
      </c>
      <c r="AS4" s="306">
        <f t="shared" si="24"/>
        <v>0.1123976246266849</v>
      </c>
      <c r="AT4" s="307">
        <f t="shared" si="25"/>
        <v>0.36469611258881862</v>
      </c>
      <c r="AU4" s="308">
        <v>1018.4201669999999</v>
      </c>
      <c r="AV4" s="306">
        <f t="shared" si="26"/>
        <v>-6.8093383722154011E-2</v>
      </c>
      <c r="AW4" s="307">
        <f t="shared" si="27"/>
        <v>-0.39563113162031627</v>
      </c>
      <c r="AX4" s="308">
        <v>1003.531417</v>
      </c>
      <c r="AY4" s="306">
        <f t="shared" si="28"/>
        <v>-1.4619457157705518E-2</v>
      </c>
      <c r="AZ4" s="307">
        <f t="shared" si="29"/>
        <v>-0.18563829270984467</v>
      </c>
      <c r="BA4" s="308">
        <v>1314.9905220000001</v>
      </c>
      <c r="BB4" s="306">
        <f t="shared" si="30"/>
        <v>0.31036308353064745</v>
      </c>
      <c r="BC4" s="309">
        <f t="shared" si="31"/>
        <v>0.33852990897931012</v>
      </c>
      <c r="BD4" s="305">
        <v>2115.6628559999999</v>
      </c>
      <c r="BE4" s="306">
        <f t="shared" ref="BE4:BE13" si="60">BD4/E4-1</f>
        <v>2.8003916967249625</v>
      </c>
      <c r="BF4" s="307">
        <f>IFERROR(BD4/#REF!-1,)</f>
        <v>0</v>
      </c>
      <c r="BG4" s="308">
        <v>2282.4003980000002</v>
      </c>
      <c r="BH4" s="306">
        <f t="shared" si="32"/>
        <v>7.8811017325910004E-2</v>
      </c>
      <c r="BI4" s="307">
        <f>IFERROR(BG4/#REF!-1,)</f>
        <v>0</v>
      </c>
      <c r="BJ4" s="308">
        <v>2213.2935150000003</v>
      </c>
      <c r="BK4" s="306">
        <f t="shared" si="33"/>
        <v>-3.027815937140399E-2</v>
      </c>
      <c r="BL4" s="307">
        <f t="shared" ref="BL4:BL31" si="61">IFERROR(BJ4/B4-1,)</f>
        <v>0</v>
      </c>
      <c r="BM4" s="308">
        <v>2589.2860000000001</v>
      </c>
      <c r="BN4" s="306">
        <f t="shared" si="34"/>
        <v>0.16987917890321014</v>
      </c>
      <c r="BO4" s="309">
        <f t="shared" ref="BO4:BO31" si="62">IFERROR(BM4/E4-1,)</f>
        <v>3.6511668846192533</v>
      </c>
      <c r="BP4" s="305">
        <v>2799.6509999999998</v>
      </c>
      <c r="BQ4" s="306">
        <f t="shared" si="35"/>
        <v>8.1244404828203498E-2</v>
      </c>
      <c r="BR4" s="307">
        <f t="shared" si="36"/>
        <v>0.32329732597054206</v>
      </c>
      <c r="BS4" s="308">
        <v>2824.2060000000001</v>
      </c>
      <c r="BT4" s="306">
        <f t="shared" si="37"/>
        <v>8.7707360667454992E-3</v>
      </c>
      <c r="BU4" s="307">
        <f t="shared" si="38"/>
        <v>0.23738411650942925</v>
      </c>
      <c r="BV4" s="308">
        <v>3075.951</v>
      </c>
      <c r="BW4" s="306">
        <f t="shared" si="39"/>
        <v>8.9138327728218059E-2</v>
      </c>
      <c r="BX4" s="307">
        <f t="shared" si="40"/>
        <v>0.389761899699959</v>
      </c>
      <c r="BY4" s="308">
        <v>3917.86</v>
      </c>
      <c r="BZ4" s="306">
        <f t="shared" si="41"/>
        <v>0.27370689585107177</v>
      </c>
      <c r="CA4" s="309">
        <f t="shared" si="42"/>
        <v>0.51310438476089559</v>
      </c>
      <c r="CB4" s="460">
        <v>4156</v>
      </c>
      <c r="CC4" s="306">
        <f t="shared" si="43"/>
        <v>6.0783182655837598E-2</v>
      </c>
      <c r="CD4" s="307">
        <f t="shared" si="44"/>
        <v>0.484470742960462</v>
      </c>
      <c r="CE4" s="308">
        <v>4241</v>
      </c>
      <c r="CF4" s="306">
        <f t="shared" si="45"/>
        <v>2.0452358036573637E-2</v>
      </c>
      <c r="CG4" s="307">
        <f t="shared" si="46"/>
        <v>0.50166099781673146</v>
      </c>
      <c r="CH4" s="308">
        <v>4356.4250000000002</v>
      </c>
      <c r="CI4" s="306">
        <f t="shared" si="47"/>
        <v>2.7216458382457009E-2</v>
      </c>
      <c r="CJ4" s="307">
        <f t="shared" si="48"/>
        <v>0.41628556501712799</v>
      </c>
      <c r="CK4" s="308">
        <v>4686.04</v>
      </c>
      <c r="CL4" s="306">
        <f t="shared" si="49"/>
        <v>7.5661809855558149E-2</v>
      </c>
      <c r="CM4" s="309">
        <f t="shared" si="50"/>
        <v>0.19607132465172317</v>
      </c>
      <c r="CN4" s="460">
        <v>4706.317</v>
      </c>
      <c r="CO4" s="306">
        <f t="shared" si="51"/>
        <v>4.3271077498272525E-3</v>
      </c>
      <c r="CP4" s="307">
        <f t="shared" si="52"/>
        <v>0.1324150625601539</v>
      </c>
      <c r="CQ4" s="308">
        <v>5960.6980000000003</v>
      </c>
      <c r="CR4" s="306">
        <f t="shared" si="53"/>
        <v>0.26653134499864772</v>
      </c>
      <c r="CS4" s="307">
        <f t="shared" si="54"/>
        <v>0.40549351568026415</v>
      </c>
      <c r="CT4" s="308">
        <v>0</v>
      </c>
      <c r="CU4" s="306">
        <f t="shared" si="55"/>
        <v>-1</v>
      </c>
      <c r="CV4" s="307">
        <f t="shared" si="56"/>
        <v>-1</v>
      </c>
      <c r="CW4" s="308">
        <v>0</v>
      </c>
      <c r="CX4" s="306" t="e">
        <f t="shared" si="57"/>
        <v>#DIV/0!</v>
      </c>
      <c r="CY4" s="309">
        <f t="shared" si="58"/>
        <v>-1</v>
      </c>
    </row>
    <row r="5" spans="1:103" s="1" customFormat="1" ht="16.2" customHeight="1">
      <c r="A5" s="141">
        <f t="shared" si="59"/>
        <v>4</v>
      </c>
      <c r="B5" s="99" t="s">
        <v>56</v>
      </c>
      <c r="C5" s="98" t="s">
        <v>261</v>
      </c>
      <c r="D5" s="472">
        <v>238.93</v>
      </c>
      <c r="E5" s="473">
        <v>403.84800000000001</v>
      </c>
      <c r="F5" s="473">
        <v>287.24099999999999</v>
      </c>
      <c r="G5" s="304">
        <v>417.87</v>
      </c>
      <c r="H5" s="305">
        <v>674.73800000000006</v>
      </c>
      <c r="I5" s="306">
        <f t="shared" si="0"/>
        <v>0.6147079235168833</v>
      </c>
      <c r="J5" s="307">
        <f t="shared" si="1"/>
        <v>1.8239986606956013</v>
      </c>
      <c r="K5" s="308">
        <v>644.38800000000003</v>
      </c>
      <c r="L5" s="306">
        <f t="shared" si="2"/>
        <v>-4.498042203047703E-2</v>
      </c>
      <c r="M5" s="307">
        <f t="shared" si="3"/>
        <v>0.59562013430795746</v>
      </c>
      <c r="N5" s="308">
        <v>600.57799999999997</v>
      </c>
      <c r="O5" s="306">
        <f t="shared" si="4"/>
        <v>-6.7986989205261472E-2</v>
      </c>
      <c r="P5" s="307">
        <f t="shared" si="5"/>
        <v>1.0908505401387685</v>
      </c>
      <c r="Q5" s="308">
        <v>424.10899999999998</v>
      </c>
      <c r="R5" s="306">
        <f t="shared" si="6"/>
        <v>-0.2938319418959735</v>
      </c>
      <c r="S5" s="309">
        <f t="shared" si="7"/>
        <v>1.4930480771531807E-2</v>
      </c>
      <c r="T5" s="305">
        <v>267.22399999999999</v>
      </c>
      <c r="U5" s="306">
        <f t="shared" si="8"/>
        <v>-0.36991669594373144</v>
      </c>
      <c r="V5" s="307">
        <f t="shared" si="9"/>
        <v>-0.6039588699613776</v>
      </c>
      <c r="W5" s="308">
        <v>121.434</v>
      </c>
      <c r="X5" s="306">
        <f t="shared" si="10"/>
        <v>-0.54557225398916265</v>
      </c>
      <c r="Y5" s="307">
        <f t="shared" si="11"/>
        <v>-0.81155142553865067</v>
      </c>
      <c r="Z5" s="308">
        <v>201.03299999999999</v>
      </c>
      <c r="AA5" s="306">
        <f t="shared" si="12"/>
        <v>0.65549187212806959</v>
      </c>
      <c r="AB5" s="307">
        <f t="shared" si="13"/>
        <v>-0.6652674590144827</v>
      </c>
      <c r="AC5" s="308">
        <v>250.52699999999999</v>
      </c>
      <c r="AD5" s="306">
        <f t="shared" si="14"/>
        <v>0.24619838533972027</v>
      </c>
      <c r="AE5" s="309">
        <f t="shared" si="15"/>
        <v>-0.40928629196739519</v>
      </c>
      <c r="AF5" s="305">
        <v>799.553</v>
      </c>
      <c r="AG5" s="306">
        <f t="shared" si="16"/>
        <v>2.1914843509881172</v>
      </c>
      <c r="AH5" s="307">
        <f t="shared" si="17"/>
        <v>1.992070323024878</v>
      </c>
      <c r="AI5" s="308">
        <v>853.51</v>
      </c>
      <c r="AJ5" s="306">
        <f t="shared" si="18"/>
        <v>6.7483956660784106E-2</v>
      </c>
      <c r="AK5" s="307">
        <f t="shared" si="19"/>
        <v>6.0285916629609497</v>
      </c>
      <c r="AL5" s="308">
        <v>354.41300000000001</v>
      </c>
      <c r="AM5" s="306">
        <f t="shared" si="20"/>
        <v>-0.58475823364694024</v>
      </c>
      <c r="AN5" s="307">
        <f t="shared" si="21"/>
        <v>0.76295931513731596</v>
      </c>
      <c r="AO5" s="308">
        <v>2207.5970000000002</v>
      </c>
      <c r="AP5" s="306">
        <f t="shared" si="22"/>
        <v>5.2288826877117947</v>
      </c>
      <c r="AQ5" s="309">
        <f t="shared" si="23"/>
        <v>7.8118126988308667</v>
      </c>
      <c r="AR5" s="305">
        <v>1609.318</v>
      </c>
      <c r="AS5" s="306">
        <f t="shared" si="24"/>
        <v>-0.27100915610956178</v>
      </c>
      <c r="AT5" s="307">
        <f t="shared" si="25"/>
        <v>1.0127721364312308</v>
      </c>
      <c r="AU5" s="308">
        <v>2002.1937820000001</v>
      </c>
      <c r="AV5" s="306">
        <f t="shared" si="26"/>
        <v>0.24412563707110713</v>
      </c>
      <c r="AW5" s="307">
        <f t="shared" si="27"/>
        <v>1.3458351770922428</v>
      </c>
      <c r="AX5" s="308">
        <v>1112.29</v>
      </c>
      <c r="AY5" s="306">
        <f t="shared" si="28"/>
        <v>-0.44446436204145601</v>
      </c>
      <c r="AZ5" s="307">
        <f t="shared" si="29"/>
        <v>2.1384006794333161</v>
      </c>
      <c r="BA5" s="308">
        <v>1190.385599</v>
      </c>
      <c r="BB5" s="306">
        <f t="shared" si="30"/>
        <v>7.0211544651125113E-2</v>
      </c>
      <c r="BC5" s="309">
        <f t="shared" si="31"/>
        <v>-0.46077766956559563</v>
      </c>
      <c r="BD5" s="305">
        <v>1318.646467</v>
      </c>
      <c r="BE5" s="306">
        <f t="shared" si="60"/>
        <v>2.2652048963966642</v>
      </c>
      <c r="BF5" s="307">
        <f>IFERROR(BD5/#REF!-1,)</f>
        <v>0</v>
      </c>
      <c r="BG5" s="308">
        <v>3702.8742579999998</v>
      </c>
      <c r="BH5" s="306">
        <f t="shared" si="32"/>
        <v>1.8080871944580124</v>
      </c>
      <c r="BI5" s="307">
        <f>IFERROR(BG5/#REF!-1,)</f>
        <v>0</v>
      </c>
      <c r="BJ5" s="308">
        <v>1466.420235</v>
      </c>
      <c r="BK5" s="306">
        <f t="shared" si="33"/>
        <v>-0.60397784725424497</v>
      </c>
      <c r="BL5" s="307">
        <f t="shared" si="61"/>
        <v>0</v>
      </c>
      <c r="BM5" s="308">
        <v>2541.797</v>
      </c>
      <c r="BN5" s="306">
        <f t="shared" si="34"/>
        <v>0.73333464673583149</v>
      </c>
      <c r="BO5" s="309">
        <f t="shared" si="62"/>
        <v>5.2939447514906597</v>
      </c>
      <c r="BP5" s="305">
        <v>2227.27</v>
      </c>
      <c r="BQ5" s="306">
        <f t="shared" si="35"/>
        <v>-0.12374198254227231</v>
      </c>
      <c r="BR5" s="307">
        <f t="shared" si="36"/>
        <v>0.6890577237636506</v>
      </c>
      <c r="BS5" s="308">
        <v>2516.3539999999998</v>
      </c>
      <c r="BT5" s="306">
        <f t="shared" si="37"/>
        <v>0.12979297525670441</v>
      </c>
      <c r="BU5" s="307">
        <f t="shared" si="38"/>
        <v>-0.32043223056698245</v>
      </c>
      <c r="BV5" s="308">
        <v>4737.6229999999996</v>
      </c>
      <c r="BW5" s="306">
        <f t="shared" si="39"/>
        <v>0.88273311306755731</v>
      </c>
      <c r="BX5" s="307">
        <f t="shared" si="40"/>
        <v>2.2307403341307546</v>
      </c>
      <c r="BY5" s="308">
        <v>3339.4949999999999</v>
      </c>
      <c r="BZ5" s="306">
        <f t="shared" si="41"/>
        <v>-0.29511170475151771</v>
      </c>
      <c r="CA5" s="309">
        <f t="shared" si="42"/>
        <v>0.31383230053383482</v>
      </c>
      <c r="CB5" s="460">
        <v>3641</v>
      </c>
      <c r="CC5" s="306">
        <f t="shared" si="43"/>
        <v>9.0284608900447649E-2</v>
      </c>
      <c r="CD5" s="307">
        <f t="shared" si="44"/>
        <v>0.63473669559595391</v>
      </c>
      <c r="CE5" s="308">
        <v>2500.1</v>
      </c>
      <c r="CF5" s="306">
        <f t="shared" si="45"/>
        <v>-0.31334798132381214</v>
      </c>
      <c r="CG5" s="307">
        <f t="shared" si="46"/>
        <v>-6.4593455451815718E-3</v>
      </c>
      <c r="CH5" s="308">
        <v>5987.5140000000001</v>
      </c>
      <c r="CI5" s="306">
        <f t="shared" si="47"/>
        <v>1.394909803607856</v>
      </c>
      <c r="CJ5" s="307">
        <f t="shared" si="48"/>
        <v>0.26382238519189904</v>
      </c>
      <c r="CK5" s="308">
        <v>5456.1409999999996</v>
      </c>
      <c r="CL5" s="306">
        <f t="shared" si="49"/>
        <v>-8.8746848859142635E-2</v>
      </c>
      <c r="CM5" s="309">
        <f t="shared" si="50"/>
        <v>0.633822179700823</v>
      </c>
      <c r="CN5" s="460">
        <v>5448.1490000000003</v>
      </c>
      <c r="CO5" s="306">
        <f t="shared" si="51"/>
        <v>-1.4647715299145325E-3</v>
      </c>
      <c r="CP5" s="307">
        <f t="shared" si="52"/>
        <v>0.49633315023345248</v>
      </c>
      <c r="CQ5" s="308">
        <v>5088.9290000000001</v>
      </c>
      <c r="CR5" s="306">
        <f t="shared" si="53"/>
        <v>-6.5934320078250508E-2</v>
      </c>
      <c r="CS5" s="307">
        <f t="shared" si="54"/>
        <v>1.0354901803927845</v>
      </c>
      <c r="CT5" s="308">
        <v>0</v>
      </c>
      <c r="CU5" s="306">
        <f t="shared" si="55"/>
        <v>-1</v>
      </c>
      <c r="CV5" s="307">
        <f t="shared" si="56"/>
        <v>-1</v>
      </c>
      <c r="CW5" s="308">
        <v>0</v>
      </c>
      <c r="CX5" s="306" t="e">
        <f t="shared" si="57"/>
        <v>#DIV/0!</v>
      </c>
      <c r="CY5" s="309">
        <f t="shared" si="58"/>
        <v>-1</v>
      </c>
    </row>
    <row r="6" spans="1:103" s="1" customFormat="1" ht="16.2" customHeight="1">
      <c r="A6" s="141">
        <f t="shared" si="59"/>
        <v>5</v>
      </c>
      <c r="B6" s="100" t="s">
        <v>167</v>
      </c>
      <c r="C6" s="101" t="s">
        <v>70</v>
      </c>
      <c r="D6" s="474">
        <v>425.714</v>
      </c>
      <c r="E6" s="475">
        <v>322.81099999999998</v>
      </c>
      <c r="F6" s="475">
        <v>325.20299999999997</v>
      </c>
      <c r="G6" s="310">
        <v>574.12699999999995</v>
      </c>
      <c r="H6" s="311">
        <v>630.08699999999999</v>
      </c>
      <c r="I6" s="312">
        <f t="shared" si="0"/>
        <v>9.7469723597740643E-2</v>
      </c>
      <c r="J6" s="313">
        <f t="shared" si="1"/>
        <v>0.48007112756451509</v>
      </c>
      <c r="K6" s="314">
        <v>744.29200000000003</v>
      </c>
      <c r="L6" s="312">
        <f t="shared" si="2"/>
        <v>0.18125274763643762</v>
      </c>
      <c r="M6" s="313">
        <f t="shared" si="3"/>
        <v>1.3056587291015487</v>
      </c>
      <c r="N6" s="314">
        <v>559.18799999999999</v>
      </c>
      <c r="O6" s="312">
        <f t="shared" si="4"/>
        <v>-0.24869809160920719</v>
      </c>
      <c r="P6" s="313">
        <f t="shared" si="5"/>
        <v>0.71950443261593544</v>
      </c>
      <c r="Q6" s="314">
        <v>607.34500000000003</v>
      </c>
      <c r="R6" s="312">
        <f t="shared" si="6"/>
        <v>8.6119516155568565E-2</v>
      </c>
      <c r="S6" s="315">
        <f t="shared" si="7"/>
        <v>5.7858278743204927E-2</v>
      </c>
      <c r="T6" s="311">
        <v>510.42599999999999</v>
      </c>
      <c r="U6" s="312">
        <f t="shared" si="8"/>
        <v>-0.15957816397599389</v>
      </c>
      <c r="V6" s="313">
        <f t="shared" si="9"/>
        <v>-0.1899118693132853</v>
      </c>
      <c r="W6" s="314">
        <v>600.53499999999997</v>
      </c>
      <c r="X6" s="312">
        <f t="shared" si="10"/>
        <v>0.17653685353018855</v>
      </c>
      <c r="Y6" s="313">
        <f t="shared" si="11"/>
        <v>-0.19314596959257935</v>
      </c>
      <c r="Z6" s="314">
        <v>580.43700000000001</v>
      </c>
      <c r="AA6" s="312">
        <f t="shared" si="12"/>
        <v>-3.3466825414005807E-2</v>
      </c>
      <c r="AB6" s="313">
        <f t="shared" si="13"/>
        <v>3.7999742483744381E-2</v>
      </c>
      <c r="AC6" s="314">
        <v>1134.396</v>
      </c>
      <c r="AD6" s="312">
        <f t="shared" si="14"/>
        <v>0.95438264617865487</v>
      </c>
      <c r="AE6" s="315">
        <f t="shared" si="15"/>
        <v>0.86779507528669853</v>
      </c>
      <c r="AF6" s="311">
        <v>523.947</v>
      </c>
      <c r="AG6" s="312">
        <f t="shared" si="16"/>
        <v>-0.53812689748553411</v>
      </c>
      <c r="AH6" s="313">
        <f t="shared" si="17"/>
        <v>2.6489638067026311E-2</v>
      </c>
      <c r="AI6" s="314">
        <v>461.858</v>
      </c>
      <c r="AJ6" s="312">
        <f t="shared" si="18"/>
        <v>-0.11850244394948339</v>
      </c>
      <c r="AK6" s="313">
        <f t="shared" si="19"/>
        <v>-0.23092242750214387</v>
      </c>
      <c r="AL6" s="314">
        <v>510.24200000000002</v>
      </c>
      <c r="AM6" s="312">
        <f t="shared" si="20"/>
        <v>0.10475947152588039</v>
      </c>
      <c r="AN6" s="313">
        <f t="shared" si="21"/>
        <v>-0.1209347439946109</v>
      </c>
      <c r="AO6" s="314">
        <v>768.73500000000001</v>
      </c>
      <c r="AP6" s="312">
        <f t="shared" si="22"/>
        <v>0.50660862884670399</v>
      </c>
      <c r="AQ6" s="315">
        <f t="shared" si="23"/>
        <v>-0.32233981784138865</v>
      </c>
      <c r="AR6" s="311">
        <v>949.16200000000003</v>
      </c>
      <c r="AS6" s="312">
        <f t="shared" si="24"/>
        <v>0.23470636825433999</v>
      </c>
      <c r="AT6" s="313">
        <f t="shared" si="25"/>
        <v>0.81156109301131618</v>
      </c>
      <c r="AU6" s="314">
        <v>1007.980763</v>
      </c>
      <c r="AV6" s="312">
        <f t="shared" si="26"/>
        <v>6.1969150682391394E-2</v>
      </c>
      <c r="AW6" s="313">
        <f t="shared" si="27"/>
        <v>1.1824473387924428</v>
      </c>
      <c r="AX6" s="314">
        <v>1128.6549869999999</v>
      </c>
      <c r="AY6" s="312">
        <f t="shared" si="28"/>
        <v>0.11971877681558474</v>
      </c>
      <c r="AZ6" s="313">
        <f t="shared" si="29"/>
        <v>1.2119993787261727</v>
      </c>
      <c r="BA6" s="314">
        <v>3590.6120690000002</v>
      </c>
      <c r="BB6" s="312">
        <f t="shared" si="30"/>
        <v>2.1813194557744868</v>
      </c>
      <c r="BC6" s="315">
        <f t="shared" si="31"/>
        <v>3.6708060241825855</v>
      </c>
      <c r="BD6" s="311">
        <v>1768.3492180000001</v>
      </c>
      <c r="BE6" s="312">
        <f t="shared" si="60"/>
        <v>4.4779707568825105</v>
      </c>
      <c r="BF6" s="313">
        <f>IFERROR(BD6/#REF!-1,)</f>
        <v>0</v>
      </c>
      <c r="BG6" s="314">
        <v>1043.2570479999999</v>
      </c>
      <c r="BH6" s="312">
        <f t="shared" si="32"/>
        <v>-0.41003901413776067</v>
      </c>
      <c r="BI6" s="313">
        <f>IFERROR(BG6/#REF!-1,)</f>
        <v>0</v>
      </c>
      <c r="BJ6" s="314">
        <v>1980.7433529999998</v>
      </c>
      <c r="BK6" s="312">
        <f t="shared" si="33"/>
        <v>0.89861487808515617</v>
      </c>
      <c r="BL6" s="313">
        <f t="shared" si="61"/>
        <v>0</v>
      </c>
      <c r="BM6" s="314">
        <v>2706.989</v>
      </c>
      <c r="BN6" s="312">
        <f t="shared" si="34"/>
        <v>0.36665307794674207</v>
      </c>
      <c r="BO6" s="315">
        <f t="shared" si="62"/>
        <v>7.3856776875633123</v>
      </c>
      <c r="BP6" s="311">
        <v>1694.518</v>
      </c>
      <c r="BQ6" s="312">
        <f t="shared" si="35"/>
        <v>-0.37402109871890876</v>
      </c>
      <c r="BR6" s="313">
        <f t="shared" si="36"/>
        <v>-4.1751491870764657E-2</v>
      </c>
      <c r="BS6" s="314">
        <v>3164.7350000000001</v>
      </c>
      <c r="BT6" s="312">
        <f t="shared" si="37"/>
        <v>0.86763138544412044</v>
      </c>
      <c r="BU6" s="313">
        <f t="shared" si="38"/>
        <v>2.0335141335177447</v>
      </c>
      <c r="BV6" s="314">
        <v>2169.672</v>
      </c>
      <c r="BW6" s="312">
        <f t="shared" si="39"/>
        <v>-0.3144222186059813</v>
      </c>
      <c r="BX6" s="313">
        <f t="shared" si="40"/>
        <v>9.5382698982102943E-2</v>
      </c>
      <c r="BY6" s="314">
        <v>3366.53</v>
      </c>
      <c r="BZ6" s="312">
        <f t="shared" si="41"/>
        <v>0.55163084558403308</v>
      </c>
      <c r="CA6" s="315">
        <f t="shared" si="42"/>
        <v>0.24364376803895404</v>
      </c>
      <c r="CB6" s="461">
        <v>2375</v>
      </c>
      <c r="CC6" s="312">
        <f t="shared" si="43"/>
        <v>-0.2945258173846661</v>
      </c>
      <c r="CD6" s="313">
        <f t="shared" si="44"/>
        <v>0.40157850196929146</v>
      </c>
      <c r="CE6" s="314">
        <v>1594</v>
      </c>
      <c r="CF6" s="312">
        <f t="shared" si="45"/>
        <v>-0.32884210526315794</v>
      </c>
      <c r="CG6" s="313">
        <f t="shared" si="46"/>
        <v>-0.49632433679281207</v>
      </c>
      <c r="CH6" s="314">
        <v>2175.5520000000001</v>
      </c>
      <c r="CI6" s="312">
        <f t="shared" si="47"/>
        <v>0.36483814303638651</v>
      </c>
      <c r="CJ6" s="313">
        <f t="shared" si="48"/>
        <v>2.71008705463327E-3</v>
      </c>
      <c r="CK6" s="314">
        <v>4530.3954740000008</v>
      </c>
      <c r="CL6" s="312">
        <f t="shared" si="49"/>
        <v>1.0824119460256525</v>
      </c>
      <c r="CM6" s="315">
        <f t="shared" si="50"/>
        <v>0.34571665008183516</v>
      </c>
      <c r="CN6" s="461">
        <v>5409.098</v>
      </c>
      <c r="CO6" s="312">
        <f t="shared" si="51"/>
        <v>0.19395713487771316</v>
      </c>
      <c r="CP6" s="313">
        <f t="shared" si="52"/>
        <v>1.2775149473684211</v>
      </c>
      <c r="CQ6" s="314">
        <v>3359.0619999999999</v>
      </c>
      <c r="CR6" s="312">
        <f t="shared" si="53"/>
        <v>-0.37899775526344692</v>
      </c>
      <c r="CS6" s="313">
        <f t="shared" si="54"/>
        <v>1.1073161856963614</v>
      </c>
      <c r="CT6" s="314">
        <v>0</v>
      </c>
      <c r="CU6" s="312">
        <f t="shared" si="55"/>
        <v>-1</v>
      </c>
      <c r="CV6" s="313">
        <f t="shared" si="56"/>
        <v>-1</v>
      </c>
      <c r="CW6" s="314">
        <v>0</v>
      </c>
      <c r="CX6" s="312" t="e">
        <f t="shared" si="57"/>
        <v>#DIV/0!</v>
      </c>
      <c r="CY6" s="315">
        <f t="shared" si="58"/>
        <v>-1</v>
      </c>
    </row>
    <row r="7" spans="1:103" s="1" customFormat="1" ht="16.2" customHeight="1">
      <c r="A7" s="141">
        <f t="shared" si="59"/>
        <v>6</v>
      </c>
      <c r="B7" s="100" t="s">
        <v>163</v>
      </c>
      <c r="C7" s="101" t="s">
        <v>262</v>
      </c>
      <c r="D7" s="474">
        <v>382.60899999999998</v>
      </c>
      <c r="E7" s="475">
        <v>347.13600000000002</v>
      </c>
      <c r="F7" s="475">
        <v>338.3</v>
      </c>
      <c r="G7" s="310">
        <v>531.35299999999995</v>
      </c>
      <c r="H7" s="311">
        <v>399.54300000000001</v>
      </c>
      <c r="I7" s="312">
        <f t="shared" si="0"/>
        <v>-0.2480648457804886</v>
      </c>
      <c r="J7" s="313">
        <f t="shared" si="1"/>
        <v>4.4259282975570358E-2</v>
      </c>
      <c r="K7" s="314">
        <v>713.77</v>
      </c>
      <c r="L7" s="312">
        <f t="shared" si="2"/>
        <v>0.78646603744778409</v>
      </c>
      <c r="M7" s="313">
        <f t="shared" si="3"/>
        <v>1.0561681876843654</v>
      </c>
      <c r="N7" s="314">
        <v>345.31700000000001</v>
      </c>
      <c r="O7" s="312">
        <f t="shared" si="4"/>
        <v>-0.51620690138279834</v>
      </c>
      <c r="P7" s="313">
        <f t="shared" si="5"/>
        <v>2.074194501921367E-2</v>
      </c>
      <c r="Q7" s="314">
        <v>449.57400000000001</v>
      </c>
      <c r="R7" s="312">
        <f t="shared" si="6"/>
        <v>0.30191678950066181</v>
      </c>
      <c r="S7" s="315">
        <f t="shared" si="7"/>
        <v>-0.15390710130553498</v>
      </c>
      <c r="T7" s="311">
        <v>226.07599999999999</v>
      </c>
      <c r="U7" s="312">
        <f t="shared" si="8"/>
        <v>-0.49713284131199764</v>
      </c>
      <c r="V7" s="313">
        <f t="shared" si="9"/>
        <v>-0.43416353183512169</v>
      </c>
      <c r="W7" s="314">
        <v>288.98</v>
      </c>
      <c r="X7" s="312">
        <f t="shared" si="10"/>
        <v>0.27824271483925767</v>
      </c>
      <c r="Y7" s="313">
        <f t="shared" si="11"/>
        <v>-0.59513568796671201</v>
      </c>
      <c r="Z7" s="314">
        <v>181.46600000000001</v>
      </c>
      <c r="AA7" s="312">
        <f t="shared" si="12"/>
        <v>-0.37204650840888642</v>
      </c>
      <c r="AB7" s="313">
        <f t="shared" si="13"/>
        <v>-0.47449445002707658</v>
      </c>
      <c r="AC7" s="314">
        <v>229.98</v>
      </c>
      <c r="AD7" s="312">
        <f t="shared" si="14"/>
        <v>0.26734484696857796</v>
      </c>
      <c r="AE7" s="315">
        <f t="shared" si="15"/>
        <v>-0.48844906511497554</v>
      </c>
      <c r="AF7" s="311">
        <v>186.137</v>
      </c>
      <c r="AG7" s="312">
        <f t="shared" si="16"/>
        <v>-0.1906383163753369</v>
      </c>
      <c r="AH7" s="313">
        <f t="shared" si="17"/>
        <v>-0.17666183053486439</v>
      </c>
      <c r="AI7" s="314">
        <v>281.23899999999998</v>
      </c>
      <c r="AJ7" s="312">
        <f t="shared" si="18"/>
        <v>0.51092474897521711</v>
      </c>
      <c r="AK7" s="313">
        <f t="shared" si="19"/>
        <v>-2.67873209218632E-2</v>
      </c>
      <c r="AL7" s="314">
        <v>169.61099999999999</v>
      </c>
      <c r="AM7" s="312">
        <f t="shared" si="20"/>
        <v>-0.39691507934532544</v>
      </c>
      <c r="AN7" s="313">
        <f t="shared" si="21"/>
        <v>-6.5329042355041778E-2</v>
      </c>
      <c r="AO7" s="314">
        <v>77.727000000000004</v>
      </c>
      <c r="AP7" s="312">
        <f t="shared" si="22"/>
        <v>-0.54173373189238894</v>
      </c>
      <c r="AQ7" s="315">
        <f t="shared" si="23"/>
        <v>-0.66202713279415604</v>
      </c>
      <c r="AR7" s="311">
        <v>1687.354</v>
      </c>
      <c r="AS7" s="312">
        <f t="shared" si="24"/>
        <v>20.708724124178215</v>
      </c>
      <c r="AT7" s="313">
        <f t="shared" si="25"/>
        <v>8.0651187028908815</v>
      </c>
      <c r="AU7" s="314">
        <v>1004.6254449999998</v>
      </c>
      <c r="AV7" s="312">
        <f t="shared" si="26"/>
        <v>-0.40461489112539528</v>
      </c>
      <c r="AW7" s="313">
        <f t="shared" si="27"/>
        <v>2.5721412926372227</v>
      </c>
      <c r="AX7" s="314">
        <v>487.683335</v>
      </c>
      <c r="AY7" s="312">
        <f t="shared" si="28"/>
        <v>-0.51456203162363656</v>
      </c>
      <c r="AZ7" s="313">
        <f t="shared" si="29"/>
        <v>1.8753048740942511</v>
      </c>
      <c r="BA7" s="314">
        <v>646.59671800000001</v>
      </c>
      <c r="BB7" s="312">
        <f t="shared" si="30"/>
        <v>0.32585362589845324</v>
      </c>
      <c r="BC7" s="315">
        <f t="shared" si="31"/>
        <v>7.3188173736282121</v>
      </c>
      <c r="BD7" s="311">
        <v>578.01816399999996</v>
      </c>
      <c r="BE7" s="312">
        <f t="shared" si="60"/>
        <v>0.66510579139011772</v>
      </c>
      <c r="BF7" s="313">
        <f>IFERROR(BD7/#REF!-1,)</f>
        <v>0</v>
      </c>
      <c r="BG7" s="314">
        <v>748.22561899999994</v>
      </c>
      <c r="BH7" s="312">
        <f t="shared" si="32"/>
        <v>0.29446731193035647</v>
      </c>
      <c r="BI7" s="313">
        <f>IFERROR(BG7/#REF!-1,)</f>
        <v>0</v>
      </c>
      <c r="BJ7" s="314">
        <v>1013.457814</v>
      </c>
      <c r="BK7" s="312">
        <f t="shared" si="33"/>
        <v>0.35448157382592926</v>
      </c>
      <c r="BL7" s="313">
        <f t="shared" si="61"/>
        <v>0</v>
      </c>
      <c r="BM7" s="314">
        <v>855.827</v>
      </c>
      <c r="BN7" s="312">
        <f t="shared" si="34"/>
        <v>-0.15553761767137553</v>
      </c>
      <c r="BO7" s="315">
        <f t="shared" si="62"/>
        <v>1.4653939666297933</v>
      </c>
      <c r="BP7" s="311">
        <v>800.01700000000005</v>
      </c>
      <c r="BQ7" s="312">
        <f t="shared" si="35"/>
        <v>-6.5211777613933597E-2</v>
      </c>
      <c r="BR7" s="313">
        <f t="shared" si="36"/>
        <v>0.38406896154218462</v>
      </c>
      <c r="BS7" s="314">
        <v>1167.424</v>
      </c>
      <c r="BT7" s="312">
        <f t="shared" si="37"/>
        <v>0.45924899095894189</v>
      </c>
      <c r="BU7" s="313">
        <f t="shared" si="38"/>
        <v>0.56025665301364147</v>
      </c>
      <c r="BV7" s="314">
        <v>841.40700000000004</v>
      </c>
      <c r="BW7" s="312">
        <f t="shared" si="39"/>
        <v>-0.27926186201414394</v>
      </c>
      <c r="BX7" s="313">
        <f t="shared" si="40"/>
        <v>-0.16976613295913667</v>
      </c>
      <c r="BY7" s="314">
        <v>614.91800000000001</v>
      </c>
      <c r="BZ7" s="312">
        <f t="shared" si="41"/>
        <v>-0.26917888726858707</v>
      </c>
      <c r="CA7" s="315">
        <f t="shared" si="42"/>
        <v>-0.28149263811494607</v>
      </c>
      <c r="CB7" s="461">
        <v>1531</v>
      </c>
      <c r="CC7" s="312">
        <f t="shared" si="43"/>
        <v>1.4897628626906352</v>
      </c>
      <c r="CD7" s="313">
        <f t="shared" si="44"/>
        <v>0.9137093336766593</v>
      </c>
      <c r="CE7" s="314">
        <v>1785.7</v>
      </c>
      <c r="CF7" s="312">
        <f t="shared" si="45"/>
        <v>0.16636185499673428</v>
      </c>
      <c r="CG7" s="313">
        <f t="shared" si="46"/>
        <v>0.52960706649854727</v>
      </c>
      <c r="CH7" s="314">
        <v>1130.4670000000001</v>
      </c>
      <c r="CI7" s="312">
        <f t="shared" si="47"/>
        <v>-0.36693341546732372</v>
      </c>
      <c r="CJ7" s="313">
        <f t="shared" si="48"/>
        <v>0.34354361206883244</v>
      </c>
      <c r="CK7" s="314">
        <v>1135.153</v>
      </c>
      <c r="CL7" s="312">
        <f t="shared" si="49"/>
        <v>4.1451895544053485E-3</v>
      </c>
      <c r="CM7" s="315">
        <f t="shared" si="50"/>
        <v>0.84602337222198742</v>
      </c>
      <c r="CN7" s="461">
        <v>776.822</v>
      </c>
      <c r="CO7" s="312">
        <f t="shared" si="51"/>
        <v>-0.31566757961261616</v>
      </c>
      <c r="CP7" s="313">
        <f t="shared" si="52"/>
        <v>-0.49260483344219463</v>
      </c>
      <c r="CQ7" s="314">
        <v>1544.433</v>
      </c>
      <c r="CR7" s="312">
        <f t="shared" si="53"/>
        <v>0.98814271480467863</v>
      </c>
      <c r="CS7" s="313">
        <f t="shared" si="54"/>
        <v>-0.13511060088480709</v>
      </c>
      <c r="CT7" s="314">
        <v>0</v>
      </c>
      <c r="CU7" s="312">
        <f t="shared" si="55"/>
        <v>-1</v>
      </c>
      <c r="CV7" s="313">
        <f t="shared" si="56"/>
        <v>-1</v>
      </c>
      <c r="CW7" s="314">
        <v>0</v>
      </c>
      <c r="CX7" s="312" t="e">
        <f t="shared" si="57"/>
        <v>#DIV/0!</v>
      </c>
      <c r="CY7" s="315">
        <f t="shared" si="58"/>
        <v>-1</v>
      </c>
    </row>
    <row r="8" spans="1:103" s="1" customFormat="1" ht="16.2" customHeight="1">
      <c r="A8" s="141">
        <f t="shared" si="59"/>
        <v>7</v>
      </c>
      <c r="B8" s="100" t="s">
        <v>51</v>
      </c>
      <c r="C8" s="101" t="s">
        <v>52</v>
      </c>
      <c r="D8" s="474">
        <v>118.205</v>
      </c>
      <c r="E8" s="475">
        <v>112.83799999999999</v>
      </c>
      <c r="F8" s="475">
        <v>117.667</v>
      </c>
      <c r="G8" s="310">
        <v>123.944</v>
      </c>
      <c r="H8" s="311">
        <v>163.857</v>
      </c>
      <c r="I8" s="312">
        <f t="shared" si="0"/>
        <v>0.3220244626605564</v>
      </c>
      <c r="J8" s="313">
        <f t="shared" si="1"/>
        <v>0.38621039719132022</v>
      </c>
      <c r="K8" s="314">
        <v>186.45400000000001</v>
      </c>
      <c r="L8" s="312">
        <f t="shared" si="2"/>
        <v>0.13790683339741361</v>
      </c>
      <c r="M8" s="313">
        <f t="shared" si="3"/>
        <v>0.65240433187401425</v>
      </c>
      <c r="N8" s="314">
        <v>176.73500000000001</v>
      </c>
      <c r="O8" s="312">
        <f t="shared" si="4"/>
        <v>-5.2125457217329751E-2</v>
      </c>
      <c r="P8" s="313">
        <f t="shared" si="5"/>
        <v>0.50199291220138198</v>
      </c>
      <c r="Q8" s="314">
        <v>138.09800000000001</v>
      </c>
      <c r="R8" s="312">
        <f t="shared" si="6"/>
        <v>-0.21861544119727272</v>
      </c>
      <c r="S8" s="315">
        <f t="shared" si="7"/>
        <v>0.1141967340089074</v>
      </c>
      <c r="T8" s="311">
        <v>183.422</v>
      </c>
      <c r="U8" s="312">
        <f t="shared" si="8"/>
        <v>0.3282017118278322</v>
      </c>
      <c r="V8" s="313">
        <f t="shared" si="9"/>
        <v>0.11940289398682991</v>
      </c>
      <c r="W8" s="314">
        <v>185.21799999999999</v>
      </c>
      <c r="X8" s="312">
        <f t="shared" si="10"/>
        <v>9.7916280489798169E-3</v>
      </c>
      <c r="Y8" s="313">
        <f t="shared" si="11"/>
        <v>-6.6289808746393675E-3</v>
      </c>
      <c r="Z8" s="314">
        <v>170.625</v>
      </c>
      <c r="AA8" s="312">
        <f t="shared" si="12"/>
        <v>-7.8788238724098014E-2</v>
      </c>
      <c r="AB8" s="313">
        <f t="shared" si="13"/>
        <v>-3.457153365207799E-2</v>
      </c>
      <c r="AC8" s="314">
        <v>200.37299999999999</v>
      </c>
      <c r="AD8" s="312">
        <f t="shared" si="14"/>
        <v>0.17434725274725271</v>
      </c>
      <c r="AE8" s="315">
        <f t="shared" si="15"/>
        <v>0.45094787759417199</v>
      </c>
      <c r="AF8" s="311">
        <v>211.79900000000001</v>
      </c>
      <c r="AG8" s="312">
        <f t="shared" si="16"/>
        <v>5.7023650891088185E-2</v>
      </c>
      <c r="AH8" s="313">
        <f t="shared" si="17"/>
        <v>0.15470881355562582</v>
      </c>
      <c r="AI8" s="314">
        <v>234.00800000000001</v>
      </c>
      <c r="AJ8" s="312">
        <f t="shared" si="18"/>
        <v>0.10485885202479706</v>
      </c>
      <c r="AK8" s="313">
        <f t="shared" si="19"/>
        <v>0.26341932209612473</v>
      </c>
      <c r="AL8" s="314">
        <v>247.43100000000001</v>
      </c>
      <c r="AM8" s="312">
        <f t="shared" si="20"/>
        <v>5.7361286793613964E-2</v>
      </c>
      <c r="AN8" s="313">
        <f t="shared" si="21"/>
        <v>0.45014505494505497</v>
      </c>
      <c r="AO8" s="314">
        <v>263.61399999999998</v>
      </c>
      <c r="AP8" s="312">
        <f t="shared" si="22"/>
        <v>6.5404092454057761E-2</v>
      </c>
      <c r="AQ8" s="315">
        <f t="shared" si="23"/>
        <v>0.3156163754597674</v>
      </c>
      <c r="AR8" s="311">
        <v>372.00599999999997</v>
      </c>
      <c r="AS8" s="312">
        <f t="shared" si="24"/>
        <v>0.41117694811352967</v>
      </c>
      <c r="AT8" s="313">
        <f t="shared" si="25"/>
        <v>0.7564105590677952</v>
      </c>
      <c r="AU8" s="314">
        <v>375.74756200000002</v>
      </c>
      <c r="AV8" s="312">
        <f t="shared" si="26"/>
        <v>1.00578001430085E-2</v>
      </c>
      <c r="AW8" s="313">
        <f t="shared" si="27"/>
        <v>0.60570391610543228</v>
      </c>
      <c r="AX8" s="314">
        <v>279.53081099999997</v>
      </c>
      <c r="AY8" s="312">
        <f t="shared" si="28"/>
        <v>-0.25606753238228608</v>
      </c>
      <c r="AZ8" s="313">
        <f t="shared" si="29"/>
        <v>0.12973237387392822</v>
      </c>
      <c r="BA8" s="314">
        <v>402.86607600000002</v>
      </c>
      <c r="BB8" s="312">
        <f t="shared" si="30"/>
        <v>0.44122243468896194</v>
      </c>
      <c r="BC8" s="315">
        <f t="shared" si="31"/>
        <v>0.52824233917773733</v>
      </c>
      <c r="BD8" s="311">
        <v>437.11958600000003</v>
      </c>
      <c r="BE8" s="312">
        <f t="shared" si="60"/>
        <v>2.8738686080930189</v>
      </c>
      <c r="BF8" s="313">
        <f>IFERROR(BD8/#REF!-1,)</f>
        <v>0</v>
      </c>
      <c r="BG8" s="314">
        <v>469.51039000000003</v>
      </c>
      <c r="BH8" s="312">
        <f t="shared" si="32"/>
        <v>7.4100555173933547E-2</v>
      </c>
      <c r="BI8" s="313">
        <f>IFERROR(BG8/#REF!-1,)</f>
        <v>0</v>
      </c>
      <c r="BJ8" s="314">
        <v>517.76484499999992</v>
      </c>
      <c r="BK8" s="312">
        <f t="shared" si="33"/>
        <v>0.10277611747846493</v>
      </c>
      <c r="BL8" s="313">
        <f t="shared" si="61"/>
        <v>0</v>
      </c>
      <c r="BM8" s="314">
        <v>548.07799999999997</v>
      </c>
      <c r="BN8" s="312">
        <f t="shared" si="34"/>
        <v>5.8546182292465332E-2</v>
      </c>
      <c r="BO8" s="315">
        <f t="shared" si="62"/>
        <v>3.8572112231694993</v>
      </c>
      <c r="BP8" s="311">
        <v>572.452</v>
      </c>
      <c r="BQ8" s="312">
        <f t="shared" si="35"/>
        <v>4.4471772265991305E-2</v>
      </c>
      <c r="BR8" s="313">
        <f t="shared" si="36"/>
        <v>0.30960043506263735</v>
      </c>
      <c r="BS8" s="314">
        <v>586.39400000000001</v>
      </c>
      <c r="BT8" s="312">
        <f t="shared" si="37"/>
        <v>2.4354880409187096E-2</v>
      </c>
      <c r="BU8" s="313">
        <f t="shared" si="38"/>
        <v>0.24894786673410985</v>
      </c>
      <c r="BV8" s="314">
        <v>602.23500000000001</v>
      </c>
      <c r="BW8" s="312">
        <f t="shared" si="39"/>
        <v>2.7014260036767102E-2</v>
      </c>
      <c r="BX8" s="313">
        <f t="shared" si="40"/>
        <v>0.16314385925525721</v>
      </c>
      <c r="BY8" s="314">
        <v>813.76900000000001</v>
      </c>
      <c r="BZ8" s="312">
        <f t="shared" si="41"/>
        <v>0.35124826687256627</v>
      </c>
      <c r="CA8" s="315">
        <f t="shared" si="42"/>
        <v>0.48476859133189087</v>
      </c>
      <c r="CB8" s="461">
        <v>725</v>
      </c>
      <c r="CC8" s="312">
        <f t="shared" si="43"/>
        <v>-0.10908378176116318</v>
      </c>
      <c r="CD8" s="313">
        <f t="shared" si="44"/>
        <v>0.26648173121938612</v>
      </c>
      <c r="CE8" s="314">
        <v>749.7</v>
      </c>
      <c r="CF8" s="312">
        <f t="shared" si="45"/>
        <v>3.4068965517241478E-2</v>
      </c>
      <c r="CG8" s="313">
        <f t="shared" si="46"/>
        <v>0.27849193545636552</v>
      </c>
      <c r="CH8" s="314">
        <v>779.82899999999995</v>
      </c>
      <c r="CI8" s="312">
        <f t="shared" si="47"/>
        <v>4.0188075230091824E-2</v>
      </c>
      <c r="CJ8" s="313">
        <f t="shared" si="48"/>
        <v>0.29489152905427263</v>
      </c>
      <c r="CK8" s="314">
        <v>763.25085799999988</v>
      </c>
      <c r="CL8" s="312">
        <f t="shared" si="49"/>
        <v>-2.1258688763818867E-2</v>
      </c>
      <c r="CM8" s="315">
        <f t="shared" si="50"/>
        <v>-6.2079216583576069E-2</v>
      </c>
      <c r="CN8" s="461">
        <v>759.05799999999999</v>
      </c>
      <c r="CO8" s="312">
        <f t="shared" si="51"/>
        <v>-5.4934206179430012E-3</v>
      </c>
      <c r="CP8" s="313">
        <f t="shared" si="52"/>
        <v>4.6976551724137838E-2</v>
      </c>
      <c r="CQ8" s="314">
        <v>997.00300000000004</v>
      </c>
      <c r="CR8" s="312">
        <f t="shared" si="53"/>
        <v>0.3134740691752147</v>
      </c>
      <c r="CS8" s="313">
        <f t="shared" si="54"/>
        <v>0.32986928104575153</v>
      </c>
      <c r="CT8" s="314">
        <v>0</v>
      </c>
      <c r="CU8" s="312">
        <f t="shared" si="55"/>
        <v>-1</v>
      </c>
      <c r="CV8" s="313">
        <f t="shared" si="56"/>
        <v>-1</v>
      </c>
      <c r="CW8" s="314">
        <v>0</v>
      </c>
      <c r="CX8" s="312" t="e">
        <f t="shared" si="57"/>
        <v>#DIV/0!</v>
      </c>
      <c r="CY8" s="315">
        <f t="shared" si="58"/>
        <v>-1</v>
      </c>
    </row>
    <row r="9" spans="1:103" s="1" customFormat="1" ht="16.2" customHeight="1">
      <c r="A9" s="141">
        <f t="shared" si="59"/>
        <v>8</v>
      </c>
      <c r="B9" s="100" t="s">
        <v>222</v>
      </c>
      <c r="C9" s="101" t="s">
        <v>275</v>
      </c>
      <c r="D9" s="474">
        <v>4.8259999999999996</v>
      </c>
      <c r="E9" s="475">
        <v>5.774</v>
      </c>
      <c r="F9" s="475">
        <v>5.891</v>
      </c>
      <c r="G9" s="310">
        <v>6.93</v>
      </c>
      <c r="H9" s="311">
        <v>7.819</v>
      </c>
      <c r="I9" s="312">
        <f>H9/G9-1</f>
        <v>0.12828282828282833</v>
      </c>
      <c r="J9" s="313">
        <f>IFERROR(H9/D9-1,)</f>
        <v>0.62018234562784924</v>
      </c>
      <c r="K9" s="314">
        <v>10.28</v>
      </c>
      <c r="L9" s="312">
        <f>K9/H9-1</f>
        <v>0.31474613121882578</v>
      </c>
      <c r="M9" s="313">
        <f>IFERROR(K9/E9-1,)</f>
        <v>0.78039487357118098</v>
      </c>
      <c r="N9" s="314">
        <v>17.672999999999998</v>
      </c>
      <c r="O9" s="312">
        <f>N9/K9-1</f>
        <v>0.71916342412451351</v>
      </c>
      <c r="P9" s="313">
        <f>IFERROR(N9/F9-1,)</f>
        <v>1.9999999999999996</v>
      </c>
      <c r="Q9" s="314">
        <v>11.926</v>
      </c>
      <c r="R9" s="312">
        <f>Q9/N9-1</f>
        <v>-0.32518531092627168</v>
      </c>
      <c r="S9" s="315">
        <f>IFERROR(Q9/G9-1,)</f>
        <v>0.72092352092352097</v>
      </c>
      <c r="T9" s="311">
        <v>21.866</v>
      </c>
      <c r="U9" s="312">
        <f>T9/Q9-1</f>
        <v>0.83347308401811171</v>
      </c>
      <c r="V9" s="313">
        <f>IFERROR(T9/H9-1,)</f>
        <v>1.7965212942831563</v>
      </c>
      <c r="W9" s="314">
        <v>15.798</v>
      </c>
      <c r="X9" s="312">
        <f>W9/T9-1</f>
        <v>-0.27750846062379952</v>
      </c>
      <c r="Y9" s="313">
        <f>IFERROR(W9/K9-1,)</f>
        <v>0.53677042801556429</v>
      </c>
      <c r="Z9" s="314">
        <v>19.353999999999999</v>
      </c>
      <c r="AA9" s="312">
        <f>Z9/W9-1</f>
        <v>0.22509178377009742</v>
      </c>
      <c r="AB9" s="313">
        <f>IFERROR(Z9/N9-1,)</f>
        <v>9.5116844904656883E-2</v>
      </c>
      <c r="AC9" s="314">
        <v>23.152000000000001</v>
      </c>
      <c r="AD9" s="312">
        <f>AC9/Z9-1</f>
        <v>0.19623850366849238</v>
      </c>
      <c r="AE9" s="315">
        <f>IFERROR(AC9/Q9-1,)</f>
        <v>0.94130471239309088</v>
      </c>
      <c r="AF9" s="311">
        <v>33.146999999999998</v>
      </c>
      <c r="AG9" s="312">
        <f>AF9/AC9-1</f>
        <v>0.43171216309606075</v>
      </c>
      <c r="AH9" s="313">
        <f>IFERROR(AF9/T9-1,)</f>
        <v>0.51591511936339507</v>
      </c>
      <c r="AI9" s="314">
        <v>16.832999999999998</v>
      </c>
      <c r="AJ9" s="312">
        <f>AI9/AF9-1</f>
        <v>-0.49217123721603773</v>
      </c>
      <c r="AK9" s="313">
        <f>IFERROR(AI9/W9-1,)</f>
        <v>6.5514622104063669E-2</v>
      </c>
      <c r="AL9" s="314">
        <v>26.364999999999998</v>
      </c>
      <c r="AM9" s="312">
        <f>AL9/AI9-1</f>
        <v>0.56626863898295032</v>
      </c>
      <c r="AN9" s="313">
        <f>IFERROR(AL9/Z9-1,)</f>
        <v>0.36225069753022621</v>
      </c>
      <c r="AO9" s="314">
        <v>31.206</v>
      </c>
      <c r="AP9" s="312">
        <f>AO9/AL9-1</f>
        <v>0.18361464062203692</v>
      </c>
      <c r="AQ9" s="315">
        <f>IFERROR(AO9/AC9-1,)</f>
        <v>0.34787491361437439</v>
      </c>
      <c r="AR9" s="311">
        <v>35.301000000000002</v>
      </c>
      <c r="AS9" s="312">
        <f>AR9/AO9-1</f>
        <v>0.1312247644683715</v>
      </c>
      <c r="AT9" s="313">
        <f>IFERROR(AR9/AF9-1,)</f>
        <v>6.4983256403294609E-2</v>
      </c>
      <c r="AU9" s="314">
        <v>37.984362999999995</v>
      </c>
      <c r="AV9" s="312">
        <f>AU9/AR9-1</f>
        <v>7.601379564318278E-2</v>
      </c>
      <c r="AW9" s="313">
        <f>IFERROR(AU9/AI9-1,)</f>
        <v>1.2565414958712053</v>
      </c>
      <c r="AX9" s="314">
        <v>42.473999999999997</v>
      </c>
      <c r="AY9" s="312">
        <f>AX9/AU9-1</f>
        <v>0.11819698016260016</v>
      </c>
      <c r="AZ9" s="313">
        <f>IFERROR(AX9/AL9-1,)</f>
        <v>0.61099943106391041</v>
      </c>
      <c r="BA9" s="314">
        <v>47.204267999999999</v>
      </c>
      <c r="BB9" s="312">
        <f>BA9/AX9-1</f>
        <v>0.11136855488063291</v>
      </c>
      <c r="BC9" s="315">
        <f>IFERROR(BA9/AO9-1,)</f>
        <v>0.51266641030571036</v>
      </c>
      <c r="BD9" s="311">
        <v>55.694633000000003</v>
      </c>
      <c r="BE9" s="312">
        <f>BD9/E9-1</f>
        <v>8.6457625562868028</v>
      </c>
      <c r="BF9" s="313">
        <f>IFERROR(BD9/#REF!-1,)</f>
        <v>0</v>
      </c>
      <c r="BG9" s="314">
        <v>60.048096000000001</v>
      </c>
      <c r="BH9" s="312">
        <f>BG9/BD9-1</f>
        <v>7.8166652072202414E-2</v>
      </c>
      <c r="BI9" s="313">
        <f>IFERROR(BG9/#REF!-1,)</f>
        <v>0</v>
      </c>
      <c r="BJ9" s="314">
        <v>62.690650999999995</v>
      </c>
      <c r="BK9" s="312">
        <f>BJ9/BG9-1</f>
        <v>4.4007307075981217E-2</v>
      </c>
      <c r="BL9" s="313">
        <f>IFERROR(BJ9/B9-1,)</f>
        <v>0</v>
      </c>
      <c r="BM9" s="314">
        <v>73.491</v>
      </c>
      <c r="BN9" s="312">
        <f>BM9/BJ9-1</f>
        <v>0.17228005815412573</v>
      </c>
      <c r="BO9" s="315">
        <f>IFERROR(BM9/E9-1,)</f>
        <v>11.727918254243159</v>
      </c>
      <c r="BP9" s="311">
        <v>77.319999999999993</v>
      </c>
      <c r="BQ9" s="312">
        <f>BP9/BM9-1</f>
        <v>5.2101617885183193E-2</v>
      </c>
      <c r="BR9" s="313">
        <f>IFERROR(BP9/BD9-1,)</f>
        <v>0.38828457672034555</v>
      </c>
      <c r="BS9" s="314">
        <v>77.891000000000005</v>
      </c>
      <c r="BT9" s="312">
        <f>BS9/BP9-1</f>
        <v>7.3848939472325181E-3</v>
      </c>
      <c r="BU9" s="313">
        <f>IFERROR(BS9/BG9-1,)</f>
        <v>0.29714354306920909</v>
      </c>
      <c r="BV9" s="314">
        <v>85.727999999999994</v>
      </c>
      <c r="BW9" s="312">
        <f>BV9/BS9-1</f>
        <v>0.10061496193398445</v>
      </c>
      <c r="BX9" s="313">
        <f>IFERROR(BV9/BJ9-1,)</f>
        <v>0.36747662741610387</v>
      </c>
      <c r="BY9" s="314">
        <v>1925.537</v>
      </c>
      <c r="BZ9" s="312">
        <f>BY9/BV9-1</f>
        <v>21.46100457260172</v>
      </c>
      <c r="CA9" s="315">
        <f>IFERROR(BY9/BM9-1,)</f>
        <v>25.200990597488129</v>
      </c>
      <c r="CB9" s="461">
        <v>1912</v>
      </c>
      <c r="CC9" s="312">
        <f>CB9/BY9-1</f>
        <v>-7.0302466273045594E-3</v>
      </c>
      <c r="CD9" s="313">
        <f>IFERROR(CB9/BP9-1,)</f>
        <v>23.728401448525609</v>
      </c>
      <c r="CE9" s="314">
        <v>1946.6</v>
      </c>
      <c r="CF9" s="312">
        <f t="shared" si="45"/>
        <v>1.8096234309623371E-2</v>
      </c>
      <c r="CG9" s="313">
        <f>IFERROR(CE9/BS9-1,)</f>
        <v>23.991334043727772</v>
      </c>
      <c r="CH9" s="314">
        <v>2004.27</v>
      </c>
      <c r="CI9" s="312">
        <f>CH9/CE9-1</f>
        <v>2.9626014589540839E-2</v>
      </c>
      <c r="CJ9" s="313">
        <f>IFERROR(CH9/BV9-1,)</f>
        <v>22.379409294512879</v>
      </c>
      <c r="CK9" s="314">
        <v>2013.7870739999998</v>
      </c>
      <c r="CL9" s="312">
        <f>CK9/CH9-1</f>
        <v>4.7483991677768067E-3</v>
      </c>
      <c r="CM9" s="315">
        <f>IFERROR(CK9/BY9-1,)</f>
        <v>4.5831409108212373E-2</v>
      </c>
      <c r="CN9" s="461">
        <v>2009.6980000000001</v>
      </c>
      <c r="CO9" s="312">
        <f>CN9/CK9-1</f>
        <v>-2.0305394015056599E-3</v>
      </c>
      <c r="CP9" s="313">
        <f>IFERROR(CN9/CB9-1,)</f>
        <v>5.1097280334728046E-2</v>
      </c>
      <c r="CQ9" s="314">
        <v>2035.56</v>
      </c>
      <c r="CR9" s="312">
        <f t="shared" si="53"/>
        <v>1.2868600157834642E-2</v>
      </c>
      <c r="CS9" s="313">
        <f>IFERROR(CQ9/CE9-1,)</f>
        <v>4.5700195212164729E-2</v>
      </c>
      <c r="CT9" s="314">
        <v>0</v>
      </c>
      <c r="CU9" s="312">
        <f>CT9/CQ9-1</f>
        <v>-1</v>
      </c>
      <c r="CV9" s="313">
        <f>IFERROR(CT9/CH9-1,)</f>
        <v>-1</v>
      </c>
      <c r="CW9" s="314">
        <v>0</v>
      </c>
      <c r="CX9" s="312" t="e">
        <f>CW9/CT9-1</f>
        <v>#DIV/0!</v>
      </c>
      <c r="CY9" s="315">
        <f>IFERROR(CW9/CK9-1,)</f>
        <v>-1</v>
      </c>
    </row>
    <row r="10" spans="1:103" s="1" customFormat="1" ht="16.2" customHeight="1">
      <c r="A10" s="141">
        <f t="shared" si="59"/>
        <v>9</v>
      </c>
      <c r="B10" s="100" t="s">
        <v>48</v>
      </c>
      <c r="C10" s="101" t="s">
        <v>147</v>
      </c>
      <c r="D10" s="474">
        <v>92.655000000000001</v>
      </c>
      <c r="E10" s="475">
        <v>92.528000000000006</v>
      </c>
      <c r="F10" s="475">
        <v>101.895</v>
      </c>
      <c r="G10" s="310">
        <v>107.491</v>
      </c>
      <c r="H10" s="311">
        <v>121.11799999999999</v>
      </c>
      <c r="I10" s="312">
        <f>H10/G10-1</f>
        <v>0.12677340428500994</v>
      </c>
      <c r="J10" s="313">
        <f>IFERROR(H10/D10-1,)</f>
        <v>0.30719335168096706</v>
      </c>
      <c r="K10" s="314">
        <v>123.68899999999999</v>
      </c>
      <c r="L10" s="312">
        <f>K10/H10-1</f>
        <v>2.1227232946382957E-2</v>
      </c>
      <c r="M10" s="313">
        <f>IFERROR(K10/E10-1,)</f>
        <v>0.33677373335638916</v>
      </c>
      <c r="N10" s="314">
        <v>132.649</v>
      </c>
      <c r="O10" s="312">
        <f>N10/K10-1</f>
        <v>7.2439748077840482E-2</v>
      </c>
      <c r="P10" s="313">
        <f>IFERROR(N10/F10-1,)</f>
        <v>0.30182050149663886</v>
      </c>
      <c r="Q10" s="314">
        <v>104.026</v>
      </c>
      <c r="R10" s="312">
        <f>Q10/N10-1</f>
        <v>-0.21577999080279542</v>
      </c>
      <c r="S10" s="315">
        <f>IFERROR(Q10/G10-1,)</f>
        <v>-3.2235256905229326E-2</v>
      </c>
      <c r="T10" s="311">
        <v>133.63200000000001</v>
      </c>
      <c r="U10" s="312">
        <f>T10/Q10-1</f>
        <v>0.28460192644146676</v>
      </c>
      <c r="V10" s="313">
        <f>IFERROR(T10/H10-1,)</f>
        <v>0.10332072854571583</v>
      </c>
      <c r="W10" s="314">
        <v>122.798</v>
      </c>
      <c r="X10" s="312">
        <f>W10/T10-1</f>
        <v>-8.1073395593869724E-2</v>
      </c>
      <c r="Y10" s="313">
        <f>IFERROR(W10/K10-1,)</f>
        <v>-7.2035508412227056E-3</v>
      </c>
      <c r="Z10" s="314">
        <v>128.19900000000001</v>
      </c>
      <c r="AA10" s="312">
        <f>Z10/W10-1</f>
        <v>4.3982801022818041E-2</v>
      </c>
      <c r="AB10" s="313">
        <f>IFERROR(Z10/N10-1,)</f>
        <v>-3.3547180905999952E-2</v>
      </c>
      <c r="AC10" s="314">
        <v>121.991</v>
      </c>
      <c r="AD10" s="312">
        <f>AC10/Z10-1</f>
        <v>-4.8424714701362781E-2</v>
      </c>
      <c r="AE10" s="315">
        <f>IFERROR(AC10/Q10-1,)</f>
        <v>0.17269721031280638</v>
      </c>
      <c r="AF10" s="311">
        <v>138.61500000000001</v>
      </c>
      <c r="AG10" s="312">
        <f>AF10/AC10-1</f>
        <v>0.13627234796009557</v>
      </c>
      <c r="AH10" s="313">
        <f>IFERROR(AF10/T10-1,)</f>
        <v>3.7288972701149392E-2</v>
      </c>
      <c r="AI10" s="314">
        <v>138.517</v>
      </c>
      <c r="AJ10" s="312">
        <f>AI10/AF10-1</f>
        <v>-7.0699419254782736E-4</v>
      </c>
      <c r="AK10" s="313">
        <f>IFERROR(AI10/W10-1,)</f>
        <v>0.12800697079756995</v>
      </c>
      <c r="AL10" s="314">
        <v>149.74799999999999</v>
      </c>
      <c r="AM10" s="312">
        <f>AL10/AI10-1</f>
        <v>8.1080300612921041E-2</v>
      </c>
      <c r="AN10" s="313">
        <f>IFERROR(AL10/Z10-1,)</f>
        <v>0.16809023471321916</v>
      </c>
      <c r="AO10" s="314">
        <v>151.02699999999999</v>
      </c>
      <c r="AP10" s="312">
        <f>AO10/AL10-1</f>
        <v>8.5410155728289361E-3</v>
      </c>
      <c r="AQ10" s="315">
        <f>IFERROR(AO10/AC10-1,)</f>
        <v>0.23801755867236096</v>
      </c>
      <c r="AR10" s="311">
        <v>209.56200000000001</v>
      </c>
      <c r="AS10" s="312">
        <f>AR10/AO10-1</f>
        <v>0.38757970429128585</v>
      </c>
      <c r="AT10" s="313">
        <f>IFERROR(AR10/AF10-1,)</f>
        <v>0.51182772427226486</v>
      </c>
      <c r="AU10" s="314">
        <v>142.01615899999999</v>
      </c>
      <c r="AV10" s="312">
        <f>AU10/AR10-1</f>
        <v>-0.32231912751357605</v>
      </c>
      <c r="AW10" s="313">
        <f>IFERROR(AU10/AI10-1,)</f>
        <v>2.5261585220586635E-2</v>
      </c>
      <c r="AX10" s="314">
        <v>197.85279399999999</v>
      </c>
      <c r="AY10" s="312">
        <f>AX10/AU10-1</f>
        <v>0.39317099823830626</v>
      </c>
      <c r="AZ10" s="313">
        <f>IFERROR(AX10/AL10-1,)</f>
        <v>0.32123830702246448</v>
      </c>
      <c r="BA10" s="314">
        <v>238.08679599999999</v>
      </c>
      <c r="BB10" s="312">
        <f>BA10/AX10-1</f>
        <v>0.20335321623004221</v>
      </c>
      <c r="BC10" s="315">
        <f>IFERROR(BA10/AO10-1,)</f>
        <v>0.57645186622259614</v>
      </c>
      <c r="BD10" s="311">
        <v>150.03006299999998</v>
      </c>
      <c r="BE10" s="312">
        <f>BD10/E10-1</f>
        <v>0.62145580797164079</v>
      </c>
      <c r="BF10" s="313">
        <f>IFERROR(BD10/#REF!-1,)</f>
        <v>0</v>
      </c>
      <c r="BG10" s="314">
        <v>232.56942699999999</v>
      </c>
      <c r="BH10" s="312">
        <f>BG10/BD10-1</f>
        <v>0.55015216516972343</v>
      </c>
      <c r="BI10" s="313">
        <f>IFERROR(BG10/#REF!-1,)</f>
        <v>0</v>
      </c>
      <c r="BJ10" s="314">
        <v>181.35998499999999</v>
      </c>
      <c r="BK10" s="312">
        <f>BJ10/BG10-1</f>
        <v>-0.22018991344034222</v>
      </c>
      <c r="BL10" s="313">
        <f>IFERROR(BJ10/B10-1,)</f>
        <v>0</v>
      </c>
      <c r="BM10" s="314">
        <v>183.42</v>
      </c>
      <c r="BN10" s="312">
        <f>BM10/BJ10-1</f>
        <v>1.1358707379690136E-2</v>
      </c>
      <c r="BO10" s="315">
        <f>IFERROR(BM10/E10-1,)</f>
        <v>0.98231886564067072</v>
      </c>
      <c r="BP10" s="311">
        <v>246.47300000000001</v>
      </c>
      <c r="BQ10" s="312">
        <f>BP10/BM10-1</f>
        <v>0.34376294842438138</v>
      </c>
      <c r="BR10" s="313">
        <f>IFERROR(BP10/BD10-1,)</f>
        <v>0.64282407853151424</v>
      </c>
      <c r="BS10" s="314">
        <v>202.922</v>
      </c>
      <c r="BT10" s="312">
        <f>BS10/BP10-1</f>
        <v>-0.17669683900467803</v>
      </c>
      <c r="BU10" s="313">
        <f>IFERROR(BS10/BG10-1,)</f>
        <v>-0.12747774882723517</v>
      </c>
      <c r="BV10" s="314">
        <v>231.60300000000001</v>
      </c>
      <c r="BW10" s="312">
        <f>BV10/BS10-1</f>
        <v>0.14134002227456866</v>
      </c>
      <c r="BX10" s="313">
        <f>IFERROR(BV10/BJ10-1,)</f>
        <v>0.27703473288222868</v>
      </c>
      <c r="BY10" s="314">
        <v>240.495</v>
      </c>
      <c r="BZ10" s="312">
        <f>BY10/BV10-1</f>
        <v>3.8393285061074423E-2</v>
      </c>
      <c r="CA10" s="315">
        <f>IFERROR(BY10/BM10-1,)</f>
        <v>0.31117108276087668</v>
      </c>
      <c r="CB10" s="461">
        <v>279</v>
      </c>
      <c r="CC10" s="312">
        <f>CB10/BY10-1</f>
        <v>0.16010727873760366</v>
      </c>
      <c r="CD10" s="313">
        <f>IFERROR(CB10/BP10-1,)</f>
        <v>0.13196983036681487</v>
      </c>
      <c r="CE10" s="314">
        <v>252</v>
      </c>
      <c r="CF10" s="312">
        <f t="shared" si="45"/>
        <v>-9.6774193548387122E-2</v>
      </c>
      <c r="CG10" s="313">
        <f>IFERROR(CE10/BS10-1,)</f>
        <v>0.24185647687288703</v>
      </c>
      <c r="CH10" s="314">
        <v>251.01499999999999</v>
      </c>
      <c r="CI10" s="312">
        <f>CH10/CE10-1</f>
        <v>-3.908730158730167E-3</v>
      </c>
      <c r="CJ10" s="313">
        <f>IFERROR(CH10/BV10-1,)</f>
        <v>8.3815840036614242E-2</v>
      </c>
      <c r="CK10" s="314">
        <v>255.68199999999999</v>
      </c>
      <c r="CL10" s="312">
        <f>CK10/CH10-1</f>
        <v>1.859251439157017E-2</v>
      </c>
      <c r="CM10" s="315">
        <f>IFERROR(CK10/BY10-1,)</f>
        <v>6.3148922015010545E-2</v>
      </c>
      <c r="CN10" s="461">
        <v>276.48700000000002</v>
      </c>
      <c r="CO10" s="312">
        <f>CN10/CK10-1</f>
        <v>8.1370608803122746E-2</v>
      </c>
      <c r="CP10" s="313">
        <f>IFERROR(CN10/CB10-1,)</f>
        <v>-9.0071684587812451E-3</v>
      </c>
      <c r="CQ10" s="314">
        <v>435.19400000000002</v>
      </c>
      <c r="CR10" s="312">
        <f t="shared" si="53"/>
        <v>0.57401252138436876</v>
      </c>
      <c r="CS10" s="313">
        <f>IFERROR(CQ10/CE10-1,)</f>
        <v>0.72696031746031742</v>
      </c>
      <c r="CT10" s="314">
        <v>0</v>
      </c>
      <c r="CU10" s="312">
        <f>CT10/CQ10-1</f>
        <v>-1</v>
      </c>
      <c r="CV10" s="313">
        <f>IFERROR(CT10/CH10-1,)</f>
        <v>-1</v>
      </c>
      <c r="CW10" s="314">
        <v>0</v>
      </c>
      <c r="CX10" s="312" t="e">
        <f>CW10/CT10-1</f>
        <v>#DIV/0!</v>
      </c>
      <c r="CY10" s="315">
        <f>IFERROR(CW10/CK10-1,)</f>
        <v>-1</v>
      </c>
    </row>
    <row r="11" spans="1:103" ht="16.2" customHeight="1">
      <c r="A11" s="141">
        <f t="shared" si="59"/>
        <v>10</v>
      </c>
      <c r="B11" s="543" t="s">
        <v>172</v>
      </c>
      <c r="C11" s="544" t="s">
        <v>69</v>
      </c>
      <c r="D11" s="545">
        <f>SUM(D12:D35)</f>
        <v>849.25000000000011</v>
      </c>
      <c r="E11" s="546">
        <f>SUM(E12:E35)</f>
        <v>843.85500000000002</v>
      </c>
      <c r="F11" s="546">
        <f>SUM(F12:F35)</f>
        <v>1028.5679999999998</v>
      </c>
      <c r="G11" s="547">
        <f>SUM(G12:G35)</f>
        <v>1345.9470000000001</v>
      </c>
      <c r="H11" s="548">
        <f>SUM(H12:H35)</f>
        <v>1009.6330000000002</v>
      </c>
      <c r="I11" s="549">
        <f>H11/G11-1</f>
        <v>-0.24987165170693937</v>
      </c>
      <c r="J11" s="550">
        <f>IFERROR(H11/D11-1,)</f>
        <v>0.18885251692670013</v>
      </c>
      <c r="K11" s="551">
        <f>SUM(K12:K35)</f>
        <v>1360.9549999999999</v>
      </c>
      <c r="L11" s="549">
        <f>K11/H11-1</f>
        <v>0.34797000494238972</v>
      </c>
      <c r="M11" s="550">
        <f>IFERROR(K11/E11-1,)</f>
        <v>0.61278300181903278</v>
      </c>
      <c r="N11" s="551">
        <f>SUM(N12:N35)</f>
        <v>1203.9469999999999</v>
      </c>
      <c r="O11" s="549">
        <f>N11/K11-1</f>
        <v>-0.11536604810592566</v>
      </c>
      <c r="P11" s="550">
        <f>IFERROR(N11/F11-1,)</f>
        <v>0.17050792947087623</v>
      </c>
      <c r="Q11" s="551">
        <f>SUM(Q12:Q35)</f>
        <v>970.17600000000004</v>
      </c>
      <c r="R11" s="549">
        <f>Q11/N11-1</f>
        <v>-0.19417050750572895</v>
      </c>
      <c r="S11" s="552">
        <f>IFERROR(Q11/G11-1,)</f>
        <v>-0.27918707051614966</v>
      </c>
      <c r="T11" s="548">
        <f>SUM(T12:T35)</f>
        <v>865.90499999999986</v>
      </c>
      <c r="U11" s="549">
        <f>T11/Q11-1</f>
        <v>-0.10747637542054245</v>
      </c>
      <c r="V11" s="550">
        <f>IFERROR(T11/H11-1,)</f>
        <v>-0.14235667811967345</v>
      </c>
      <c r="W11" s="551">
        <f>SUM(W12:W35)</f>
        <v>656.37</v>
      </c>
      <c r="X11" s="549">
        <f>W11/T11-1</f>
        <v>-0.24198382039600175</v>
      </c>
      <c r="Y11" s="550">
        <f>IFERROR(W11/K11-1,)</f>
        <v>-0.51771366430190557</v>
      </c>
      <c r="Z11" s="551">
        <f>SUM(Z12:Z35)</f>
        <v>813.11999999999989</v>
      </c>
      <c r="AA11" s="549">
        <f>Z11/W11-1</f>
        <v>0.23881347410759157</v>
      </c>
      <c r="AB11" s="550">
        <f>IFERROR(Z11/N11-1,)</f>
        <v>-0.32462143267103949</v>
      </c>
      <c r="AC11" s="551">
        <f>SUM(AC12:AC35)</f>
        <v>614.65200000000016</v>
      </c>
      <c r="AD11" s="549">
        <f>AC11/Z11-1</f>
        <v>-0.24408205430932672</v>
      </c>
      <c r="AE11" s="552">
        <f>IFERROR(AC11/Q11-1,)</f>
        <v>-0.36645309716999785</v>
      </c>
      <c r="AF11" s="548">
        <f>SUM(AF12:AF35)</f>
        <v>809.85799999999995</v>
      </c>
      <c r="AG11" s="549">
        <f>AF11/AC11-1</f>
        <v>0.31758783832152138</v>
      </c>
      <c r="AH11" s="550">
        <f>IFERROR(AF11/T11-1,)</f>
        <v>-6.4726500020209965E-2</v>
      </c>
      <c r="AI11" s="551">
        <f>SUM(AI12:AI35)</f>
        <v>940.45799999999997</v>
      </c>
      <c r="AJ11" s="549">
        <f>AI11/AF11-1</f>
        <v>0.16126283867048308</v>
      </c>
      <c r="AK11" s="550">
        <f>IFERROR(AI11/W11-1,)</f>
        <v>0.43281685634626799</v>
      </c>
      <c r="AL11" s="551">
        <f>SUM(AL12:AL35)</f>
        <v>714.03300000000002</v>
      </c>
      <c r="AM11" s="549">
        <f>AL11/AI11-1</f>
        <v>-0.24076035293442122</v>
      </c>
      <c r="AN11" s="550">
        <f>IFERROR(AL11/Z11-1,)</f>
        <v>-0.12186024203069645</v>
      </c>
      <c r="AO11" s="551">
        <f>SUM(AO12:AO35)</f>
        <v>1000.6769999999999</v>
      </c>
      <c r="AP11" s="549">
        <f>AO11/AL11-1</f>
        <v>0.40144363075656142</v>
      </c>
      <c r="AQ11" s="552">
        <f>IFERROR(AO11/AC11-1,)</f>
        <v>0.62803830460162757</v>
      </c>
      <c r="AR11" s="548">
        <f>SUM(AR12:AR35)</f>
        <v>1358.5300000000002</v>
      </c>
      <c r="AS11" s="549">
        <f>AR11/AO11-1</f>
        <v>0.35761089742244523</v>
      </c>
      <c r="AT11" s="550">
        <f>IFERROR(AR11/AF11-1,)</f>
        <v>0.67749160964020883</v>
      </c>
      <c r="AU11" s="551">
        <f>SUM(AU12:AU35)</f>
        <v>1009.812948</v>
      </c>
      <c r="AV11" s="549">
        <f>AU11/AR11-1</f>
        <v>-0.25668704555659438</v>
      </c>
      <c r="AW11" s="550">
        <f>IFERROR(AU11/AI11-1,)</f>
        <v>7.374592804782365E-2</v>
      </c>
      <c r="AX11" s="551">
        <f>SUM(AX12:AX35)</f>
        <v>1391.708063</v>
      </c>
      <c r="AY11" s="549">
        <f>AX11/AU11-1</f>
        <v>0.3781840149270892</v>
      </c>
      <c r="AZ11" s="550">
        <f>IFERROR(AX11/AL11-1,)</f>
        <v>0.94908087301287192</v>
      </c>
      <c r="BA11" s="551">
        <f>SUM(BA12:BA35)</f>
        <v>2280.535934</v>
      </c>
      <c r="BB11" s="549">
        <f>BA11/AX11-1</f>
        <v>0.63865971221293405</v>
      </c>
      <c r="BC11" s="552">
        <f>IFERROR(BA11/AO11-1,)</f>
        <v>1.2789930557012905</v>
      </c>
      <c r="BD11" s="548">
        <f>SUM(BD12:BD35)</f>
        <v>1695.0820409999999</v>
      </c>
      <c r="BE11" s="549">
        <f>BD11/BA11-1</f>
        <v>-0.2567176795031374</v>
      </c>
      <c r="BF11" s="550">
        <f>IFERROR(BD11/AR11-1,)</f>
        <v>0.24773250572309746</v>
      </c>
      <c r="BG11" s="551">
        <f>SUM(BG12:BG35)</f>
        <v>2198.2864239999999</v>
      </c>
      <c r="BH11" s="549">
        <f>BG11/BD11-1</f>
        <v>0.29686137356699183</v>
      </c>
      <c r="BI11" s="550">
        <f>IFERROR(BG11/AU11-1,)</f>
        <v>1.1769243782760448</v>
      </c>
      <c r="BJ11" s="551">
        <f>SUM(BJ12:BJ35)</f>
        <v>2379.4654149999997</v>
      </c>
      <c r="BK11" s="549">
        <f>BJ11/BG11-1</f>
        <v>8.2418282268389209E-2</v>
      </c>
      <c r="BL11" s="550">
        <f>IFERROR(BJ11/AX11-1,)</f>
        <v>0.7097446499453095</v>
      </c>
      <c r="BM11" s="551">
        <f>SUM(BM12:BM35)</f>
        <v>2985.732</v>
      </c>
      <c r="BN11" s="549">
        <f>BM11/BJ11-1</f>
        <v>0.25479108928338867</v>
      </c>
      <c r="BO11" s="552">
        <f>IFERROR(BM11/BA11-1,)</f>
        <v>0.30922383440067303</v>
      </c>
      <c r="BP11" s="548">
        <f>SUM(BP12:BP35)</f>
        <v>2527.3799999999997</v>
      </c>
      <c r="BQ11" s="549">
        <f>BP11/BM11-1</f>
        <v>-0.15351411312200836</v>
      </c>
      <c r="BR11" s="550">
        <f>IFERROR(BP11/BD11-1,)</f>
        <v>0.49100747861678262</v>
      </c>
      <c r="BS11" s="551">
        <f>SUM(BS12:BS35)</f>
        <v>2920.6409999999996</v>
      </c>
      <c r="BT11" s="549">
        <f>BS11/BP11-1</f>
        <v>0.15560026588799469</v>
      </c>
      <c r="BU11" s="550">
        <f>IFERROR(BS11/BG11-1,)</f>
        <v>0.32859893420330732</v>
      </c>
      <c r="BV11" s="551">
        <f>SUM(BV12:BV35)</f>
        <v>2716.1210000000005</v>
      </c>
      <c r="BW11" s="549">
        <f>BV11/BS11-1</f>
        <v>-7.0025723805150708E-2</v>
      </c>
      <c r="BX11" s="550">
        <f>IFERROR(BV11/BJ11-1,)</f>
        <v>0.14148370591047277</v>
      </c>
      <c r="BY11" s="551">
        <f>SUM(BY12:BY35)</f>
        <v>3114.1990000000001</v>
      </c>
      <c r="BZ11" s="549">
        <f>BY11/BV11-1</f>
        <v>0.1465612172653572</v>
      </c>
      <c r="CA11" s="552">
        <f>IFERROR(BY11/BM11-1,)</f>
        <v>4.3026969600754583E-2</v>
      </c>
      <c r="CB11" s="548">
        <f>SUM(CB12:CB35)</f>
        <v>4044</v>
      </c>
      <c r="CC11" s="549">
        <f>CB11/BY11-1</f>
        <v>0.29856826747423648</v>
      </c>
      <c r="CD11" s="550">
        <f>IFERROR(CB11/BP11-1,)</f>
        <v>0.60007596799848084</v>
      </c>
      <c r="CE11" s="551">
        <v>4161.2</v>
      </c>
      <c r="CF11" s="549">
        <f t="shared" si="45"/>
        <v>2.8981206726013786E-2</v>
      </c>
      <c r="CG11" s="550">
        <f>IFERROR(CE11/BS11-1,)</f>
        <v>0.42475572999214917</v>
      </c>
      <c r="CH11" s="551">
        <v>5303.1390000000001</v>
      </c>
      <c r="CI11" s="549">
        <f>IFERROR(CH11/CE11-1,)</f>
        <v>0.27442540613284638</v>
      </c>
      <c r="CJ11" s="550">
        <f>IFERROR(CH11/BV11-1,)</f>
        <v>0.95246787606295857</v>
      </c>
      <c r="CK11" s="551">
        <v>-1885</v>
      </c>
      <c r="CL11" s="549">
        <f>CK11/CH11-1</f>
        <v>-1.3554498571506421</v>
      </c>
      <c r="CM11" s="552">
        <f>IFERROR(CK11/BY11-1,)</f>
        <v>-1.6052920831327735</v>
      </c>
      <c r="CN11" s="548">
        <v>3994.5540000000001</v>
      </c>
      <c r="CO11" s="549">
        <f>CN11/CK11-1</f>
        <v>-3.1191267904509283</v>
      </c>
      <c r="CP11" s="550">
        <f>IFERROR(CN11/CB11-1,)</f>
        <v>-1.2227002967359013E-2</v>
      </c>
      <c r="CQ11" s="551">
        <v>7616.0309999999999</v>
      </c>
      <c r="CR11" s="549">
        <f t="shared" si="53"/>
        <v>0.90660359078885899</v>
      </c>
      <c r="CS11" s="550">
        <f>IFERROR(CQ11/CE11-1,)</f>
        <v>0.83024872632894353</v>
      </c>
      <c r="CT11" s="551">
        <v>0</v>
      </c>
      <c r="CU11" s="549">
        <f>IFERROR(CT11/CQ11-1,)</f>
        <v>-1</v>
      </c>
      <c r="CV11" s="550">
        <f>IFERROR(CT11/CH11-1,)</f>
        <v>-1</v>
      </c>
      <c r="CW11" s="551">
        <v>0</v>
      </c>
      <c r="CX11" s="549" t="e">
        <f>CW11/CT11-1</f>
        <v>#DIV/0!</v>
      </c>
      <c r="CY11" s="552">
        <f>IFERROR(CW11/CK11-1,)</f>
        <v>-1</v>
      </c>
    </row>
    <row r="12" spans="1:103" s="4" customFormat="1" ht="16.2" customHeight="1" outlineLevel="1">
      <c r="A12" s="141">
        <f t="shared" si="59"/>
        <v>11</v>
      </c>
      <c r="B12" s="102" t="s">
        <v>49</v>
      </c>
      <c r="C12" s="103" t="s">
        <v>64</v>
      </c>
      <c r="D12" s="476">
        <v>128.41</v>
      </c>
      <c r="E12" s="477">
        <v>183.68100000000001</v>
      </c>
      <c r="F12" s="477">
        <v>160.25899999999999</v>
      </c>
      <c r="G12" s="316">
        <v>191.71700000000001</v>
      </c>
      <c r="H12" s="317">
        <v>206.15600000000001</v>
      </c>
      <c r="I12" s="318">
        <f t="shared" si="0"/>
        <v>7.5314134896748763E-2</v>
      </c>
      <c r="J12" s="319">
        <f t="shared" si="1"/>
        <v>0.60545128884043309</v>
      </c>
      <c r="K12" s="320">
        <v>237.94</v>
      </c>
      <c r="L12" s="318">
        <f t="shared" si="2"/>
        <v>0.15417450862453674</v>
      </c>
      <c r="M12" s="319">
        <f t="shared" si="3"/>
        <v>0.29539799979311954</v>
      </c>
      <c r="N12" s="320">
        <v>239.29900000000001</v>
      </c>
      <c r="O12" s="318">
        <f t="shared" si="4"/>
        <v>5.7115239135916429E-3</v>
      </c>
      <c r="P12" s="319">
        <f t="shared" si="5"/>
        <v>0.49320162986166172</v>
      </c>
      <c r="Q12" s="320">
        <v>226.608</v>
      </c>
      <c r="R12" s="318">
        <f t="shared" si="6"/>
        <v>-5.3034070347138917E-2</v>
      </c>
      <c r="S12" s="321">
        <f t="shared" si="7"/>
        <v>0.18199220726383158</v>
      </c>
      <c r="T12" s="317">
        <v>213.88800000000001</v>
      </c>
      <c r="U12" s="318">
        <f t="shared" si="8"/>
        <v>-5.6132175386570671E-2</v>
      </c>
      <c r="V12" s="319">
        <f t="shared" si="9"/>
        <v>3.7505578299928288E-2</v>
      </c>
      <c r="W12" s="320">
        <v>192.56800000000001</v>
      </c>
      <c r="X12" s="318">
        <f t="shared" si="10"/>
        <v>-9.9678336325553563E-2</v>
      </c>
      <c r="Y12" s="319">
        <f t="shared" si="11"/>
        <v>-0.19068672774649065</v>
      </c>
      <c r="Z12" s="320">
        <v>232.35499999999999</v>
      </c>
      <c r="AA12" s="318">
        <f t="shared" si="12"/>
        <v>0.20661272901001193</v>
      </c>
      <c r="AB12" s="319">
        <f t="shared" si="13"/>
        <v>-2.9018090338864821E-2</v>
      </c>
      <c r="AC12" s="320">
        <v>202.01599999999999</v>
      </c>
      <c r="AD12" s="318">
        <f t="shared" si="14"/>
        <v>-0.13057175442749236</v>
      </c>
      <c r="AE12" s="321">
        <f t="shared" si="15"/>
        <v>-0.10852220574736993</v>
      </c>
      <c r="AF12" s="317">
        <v>189.59700000000001</v>
      </c>
      <c r="AG12" s="318">
        <f t="shared" si="16"/>
        <v>-6.1475328686836583E-2</v>
      </c>
      <c r="AH12" s="319">
        <f t="shared" si="17"/>
        <v>-0.11356878366247758</v>
      </c>
      <c r="AI12" s="320">
        <v>313.35300000000001</v>
      </c>
      <c r="AJ12" s="318">
        <f t="shared" si="18"/>
        <v>0.65273184702289599</v>
      </c>
      <c r="AK12" s="319">
        <f t="shared" si="19"/>
        <v>0.6272329774417349</v>
      </c>
      <c r="AL12" s="320">
        <v>284.67500000000001</v>
      </c>
      <c r="AM12" s="318">
        <f t="shared" si="20"/>
        <v>-9.1519787587800328E-2</v>
      </c>
      <c r="AN12" s="319">
        <f t="shared" si="21"/>
        <v>0.22517268834326787</v>
      </c>
      <c r="AO12" s="320">
        <v>296.822</v>
      </c>
      <c r="AP12" s="318">
        <f t="shared" si="22"/>
        <v>4.2669711074031724E-2</v>
      </c>
      <c r="AQ12" s="321">
        <f t="shared" si="23"/>
        <v>0.46929946142879775</v>
      </c>
      <c r="AR12" s="317">
        <v>454.86599999999999</v>
      </c>
      <c r="AS12" s="318">
        <f t="shared" si="24"/>
        <v>0.53245379385625058</v>
      </c>
      <c r="AT12" s="319">
        <f t="shared" si="25"/>
        <v>1.3991202392442919</v>
      </c>
      <c r="AU12" s="320">
        <v>266.88398600000005</v>
      </c>
      <c r="AV12" s="318">
        <f t="shared" si="26"/>
        <v>-0.41326899350577961</v>
      </c>
      <c r="AW12" s="319">
        <f t="shared" si="27"/>
        <v>-0.14829605588585382</v>
      </c>
      <c r="AX12" s="320">
        <v>340.250542</v>
      </c>
      <c r="AY12" s="318">
        <f t="shared" si="28"/>
        <v>0.27490055547956316</v>
      </c>
      <c r="AZ12" s="319">
        <f t="shared" si="29"/>
        <v>0.19522452621410369</v>
      </c>
      <c r="BA12" s="320">
        <v>529.43000500000005</v>
      </c>
      <c r="BB12" s="318">
        <f t="shared" si="30"/>
        <v>0.55600047508520967</v>
      </c>
      <c r="BC12" s="321">
        <f t="shared" si="31"/>
        <v>0.78366160527184658</v>
      </c>
      <c r="BD12" s="317">
        <v>233.44264999999999</v>
      </c>
      <c r="BE12" s="318">
        <f t="shared" si="60"/>
        <v>0.27091343143819979</v>
      </c>
      <c r="BF12" s="319">
        <f>IFERROR(BD12/#REF!-1,)</f>
        <v>0</v>
      </c>
      <c r="BG12" s="320">
        <v>305.30155600000001</v>
      </c>
      <c r="BH12" s="318">
        <f t="shared" si="32"/>
        <v>0.30782252514696884</v>
      </c>
      <c r="BI12" s="319">
        <f>IFERROR(BG12/#REF!-1,)</f>
        <v>0</v>
      </c>
      <c r="BJ12" s="320">
        <v>348.89246100000003</v>
      </c>
      <c r="BK12" s="318">
        <f t="shared" si="33"/>
        <v>0.14277983240937053</v>
      </c>
      <c r="BL12" s="319">
        <f t="shared" si="61"/>
        <v>0</v>
      </c>
      <c r="BM12" s="320">
        <v>546.72299999999996</v>
      </c>
      <c r="BN12" s="318">
        <f t="shared" si="34"/>
        <v>0.56702440182563851</v>
      </c>
      <c r="BO12" s="321">
        <f t="shared" si="62"/>
        <v>1.9764809642804639</v>
      </c>
      <c r="BP12" s="317">
        <v>278.99400000000003</v>
      </c>
      <c r="BQ12" s="318">
        <f t="shared" si="35"/>
        <v>-0.48969770798009216</v>
      </c>
      <c r="BR12" s="319">
        <f t="shared" si="36"/>
        <v>0.19512865365433463</v>
      </c>
      <c r="BS12" s="320">
        <v>545.755</v>
      </c>
      <c r="BT12" s="318">
        <f t="shared" si="37"/>
        <v>0.95615317892141038</v>
      </c>
      <c r="BU12" s="319">
        <f t="shared" si="38"/>
        <v>0.7875932476413583</v>
      </c>
      <c r="BV12" s="320">
        <v>438.02199999999999</v>
      </c>
      <c r="BW12" s="318">
        <f t="shared" si="39"/>
        <v>-0.19740176452803915</v>
      </c>
      <c r="BX12" s="319">
        <f t="shared" si="40"/>
        <v>0.25546421594933788</v>
      </c>
      <c r="BY12" s="320">
        <v>831.26199999999994</v>
      </c>
      <c r="BZ12" s="318">
        <f t="shared" si="41"/>
        <v>0.89776312605302921</v>
      </c>
      <c r="CA12" s="321">
        <f t="shared" si="42"/>
        <v>0.52044453955659442</v>
      </c>
      <c r="CB12" s="317">
        <v>572</v>
      </c>
      <c r="CC12" s="318">
        <f t="shared" si="43"/>
        <v>-0.31188963287146532</v>
      </c>
      <c r="CD12" s="319">
        <f t="shared" si="44"/>
        <v>1.0502233022932392</v>
      </c>
      <c r="CE12" s="1045" t="s">
        <v>353</v>
      </c>
      <c r="CF12" s="1046"/>
      <c r="CG12" s="1047"/>
      <c r="CH12" s="1045" t="s">
        <v>455</v>
      </c>
      <c r="CI12" s="1046"/>
      <c r="CJ12" s="1047"/>
      <c r="CK12" s="1045" t="s">
        <v>455</v>
      </c>
      <c r="CL12" s="1046"/>
      <c r="CM12" s="1048"/>
      <c r="CN12" s="1045" t="s">
        <v>353</v>
      </c>
      <c r="CO12" s="1046"/>
      <c r="CP12" s="1047"/>
      <c r="CQ12" s="1045" t="s">
        <v>353</v>
      </c>
      <c r="CR12" s="1046"/>
      <c r="CS12" s="1047"/>
      <c r="CT12" s="1045" t="s">
        <v>455</v>
      </c>
      <c r="CU12" s="1046"/>
      <c r="CV12" s="1047"/>
      <c r="CW12" s="1045" t="s">
        <v>455</v>
      </c>
      <c r="CX12" s="1046"/>
      <c r="CY12" s="1048"/>
    </row>
    <row r="13" spans="1:103" s="4" customFormat="1" ht="16.2" customHeight="1" outlineLevel="1">
      <c r="A13" s="141">
        <f t="shared" si="59"/>
        <v>12</v>
      </c>
      <c r="B13" s="102" t="s">
        <v>169</v>
      </c>
      <c r="C13" s="103" t="s">
        <v>263</v>
      </c>
      <c r="D13" s="476">
        <v>108.063</v>
      </c>
      <c r="E13" s="477">
        <v>102.682</v>
      </c>
      <c r="F13" s="477">
        <v>234.73400000000001</v>
      </c>
      <c r="G13" s="316">
        <v>262.32299999999998</v>
      </c>
      <c r="H13" s="317">
        <v>97.972999999999999</v>
      </c>
      <c r="I13" s="318">
        <f t="shared" si="0"/>
        <v>-0.6265176900233681</v>
      </c>
      <c r="J13" s="319">
        <f t="shared" si="1"/>
        <v>-9.3371459241368471E-2</v>
      </c>
      <c r="K13" s="320">
        <v>254.00299999999999</v>
      </c>
      <c r="L13" s="318">
        <f t="shared" si="2"/>
        <v>1.5925816296326536</v>
      </c>
      <c r="M13" s="319">
        <f t="shared" si="3"/>
        <v>1.4736857482324068</v>
      </c>
      <c r="N13" s="320">
        <v>184.12100000000001</v>
      </c>
      <c r="O13" s="318">
        <f t="shared" si="4"/>
        <v>-0.27512273477084903</v>
      </c>
      <c r="P13" s="319">
        <f t="shared" si="5"/>
        <v>-0.21561852991045183</v>
      </c>
      <c r="Q13" s="320">
        <v>170.71</v>
      </c>
      <c r="R13" s="318">
        <f t="shared" si="6"/>
        <v>-7.2837970682323006E-2</v>
      </c>
      <c r="S13" s="321">
        <f t="shared" si="7"/>
        <v>-0.34923739054524372</v>
      </c>
      <c r="T13" s="317">
        <v>92.710999999999999</v>
      </c>
      <c r="U13" s="318">
        <f t="shared" si="8"/>
        <v>-0.45690937847812085</v>
      </c>
      <c r="V13" s="319">
        <f t="shared" si="9"/>
        <v>-5.3708674838986226E-2</v>
      </c>
      <c r="W13" s="320">
        <v>76.430999999999997</v>
      </c>
      <c r="X13" s="318">
        <f t="shared" si="10"/>
        <v>-0.1755994434317395</v>
      </c>
      <c r="Y13" s="319">
        <f t="shared" si="11"/>
        <v>-0.69909410518773396</v>
      </c>
      <c r="Z13" s="320">
        <v>168.619</v>
      </c>
      <c r="AA13" s="318">
        <f t="shared" si="12"/>
        <v>1.206159804267902</v>
      </c>
      <c r="AB13" s="319">
        <f t="shared" si="13"/>
        <v>-8.4194632877292674E-2</v>
      </c>
      <c r="AC13" s="320">
        <v>199.49700000000001</v>
      </c>
      <c r="AD13" s="318">
        <f t="shared" si="14"/>
        <v>0.18312289836851137</v>
      </c>
      <c r="AE13" s="321">
        <f t="shared" si="15"/>
        <v>0.16863101165719652</v>
      </c>
      <c r="AF13" s="317">
        <v>42.658999999999999</v>
      </c>
      <c r="AG13" s="318">
        <f t="shared" si="16"/>
        <v>-0.78616721053449434</v>
      </c>
      <c r="AH13" s="319">
        <f t="shared" si="17"/>
        <v>-0.53987121269320792</v>
      </c>
      <c r="AI13" s="320">
        <v>194.42699999999999</v>
      </c>
      <c r="AJ13" s="318">
        <f t="shared" si="18"/>
        <v>3.5577017745376125</v>
      </c>
      <c r="AK13" s="319">
        <f t="shared" si="19"/>
        <v>1.5438238411115908</v>
      </c>
      <c r="AL13" s="320">
        <v>115.589</v>
      </c>
      <c r="AM13" s="318">
        <f t="shared" si="20"/>
        <v>-0.405488949580048</v>
      </c>
      <c r="AN13" s="319">
        <f t="shared" si="21"/>
        <v>-0.31449599392713756</v>
      </c>
      <c r="AO13" s="320">
        <v>160.589</v>
      </c>
      <c r="AP13" s="318">
        <f t="shared" si="22"/>
        <v>0.38931040150879404</v>
      </c>
      <c r="AQ13" s="321">
        <f t="shared" si="23"/>
        <v>-0.19503050171180525</v>
      </c>
      <c r="AR13" s="317">
        <v>203.87299999999999</v>
      </c>
      <c r="AS13" s="318">
        <f t="shared" si="24"/>
        <v>0.26953278244462564</v>
      </c>
      <c r="AT13" s="319">
        <f t="shared" si="25"/>
        <v>3.7791321878149979</v>
      </c>
      <c r="AU13" s="320">
        <v>232.858046</v>
      </c>
      <c r="AV13" s="318">
        <f t="shared" si="26"/>
        <v>0.14217206790501935</v>
      </c>
      <c r="AW13" s="319">
        <f t="shared" si="27"/>
        <v>0.19766311263353353</v>
      </c>
      <c r="AX13" s="320">
        <v>281.30319600000001</v>
      </c>
      <c r="AY13" s="318">
        <f t="shared" si="28"/>
        <v>0.20804584953014693</v>
      </c>
      <c r="AZ13" s="319">
        <f t="shared" si="29"/>
        <v>1.4336502262326003</v>
      </c>
      <c r="BA13" s="320">
        <v>441.71843100000001</v>
      </c>
      <c r="BB13" s="318">
        <f t="shared" si="30"/>
        <v>0.57025742075109576</v>
      </c>
      <c r="BC13" s="321">
        <f t="shared" si="31"/>
        <v>1.7506144941434347</v>
      </c>
      <c r="BD13" s="317">
        <v>64.267548000000005</v>
      </c>
      <c r="BE13" s="318">
        <f t="shared" si="60"/>
        <v>-0.37411086655889048</v>
      </c>
      <c r="BF13" s="319">
        <f>IFERROR(BD13/#REF!-1,)</f>
        <v>0</v>
      </c>
      <c r="BG13" s="320">
        <v>318.97146299999997</v>
      </c>
      <c r="BH13" s="318">
        <f t="shared" si="32"/>
        <v>3.9631808420635553</v>
      </c>
      <c r="BI13" s="319">
        <f>IFERROR(BG13/#REF!-1,)</f>
        <v>0</v>
      </c>
      <c r="BJ13" s="320">
        <v>294.51956199999995</v>
      </c>
      <c r="BK13" s="318">
        <f t="shared" si="33"/>
        <v>-7.6658584971910249E-2</v>
      </c>
      <c r="BL13" s="319">
        <f t="shared" si="61"/>
        <v>0</v>
      </c>
      <c r="BM13" s="320">
        <v>368.28699999999998</v>
      </c>
      <c r="BN13" s="318">
        <f t="shared" si="34"/>
        <v>0.25046702330760651</v>
      </c>
      <c r="BO13" s="321">
        <f t="shared" si="62"/>
        <v>2.5866753666660172</v>
      </c>
      <c r="BP13" s="317">
        <v>132.08099999999999</v>
      </c>
      <c r="BQ13" s="318">
        <f t="shared" si="35"/>
        <v>-0.64136393627795707</v>
      </c>
      <c r="BR13" s="319">
        <f t="shared" si="36"/>
        <v>1.0551740981311437</v>
      </c>
      <c r="BS13" s="320">
        <v>332.43</v>
      </c>
      <c r="BT13" s="318">
        <f t="shared" si="37"/>
        <v>1.5168646512367414</v>
      </c>
      <c r="BU13" s="319">
        <f t="shared" si="38"/>
        <v>4.2193545696594281E-2</v>
      </c>
      <c r="BV13" s="320">
        <v>367.56200000000001</v>
      </c>
      <c r="BW13" s="318">
        <f t="shared" si="39"/>
        <v>0.10568239930210876</v>
      </c>
      <c r="BX13" s="319">
        <f t="shared" si="40"/>
        <v>0.24800538715998788</v>
      </c>
      <c r="BY13" s="320">
        <v>51.542000000000002</v>
      </c>
      <c r="BZ13" s="318">
        <f t="shared" si="41"/>
        <v>-0.85977331715465688</v>
      </c>
      <c r="CA13" s="321">
        <f t="shared" si="42"/>
        <v>-0.86004936367561169</v>
      </c>
      <c r="CB13" s="317">
        <v>110</v>
      </c>
      <c r="CC13" s="318">
        <f t="shared" si="43"/>
        <v>1.1341818322921111</v>
      </c>
      <c r="CD13" s="319">
        <f t="shared" si="44"/>
        <v>-0.16717771670414361</v>
      </c>
      <c r="CE13" s="1045"/>
      <c r="CF13" s="1046"/>
      <c r="CG13" s="1047"/>
      <c r="CH13" s="1045"/>
      <c r="CI13" s="1046"/>
      <c r="CJ13" s="1047"/>
      <c r="CK13" s="1045"/>
      <c r="CL13" s="1046"/>
      <c r="CM13" s="1048"/>
      <c r="CN13" s="1045"/>
      <c r="CO13" s="1046"/>
      <c r="CP13" s="1047"/>
      <c r="CQ13" s="1045"/>
      <c r="CR13" s="1046"/>
      <c r="CS13" s="1047"/>
      <c r="CT13" s="1045"/>
      <c r="CU13" s="1046"/>
      <c r="CV13" s="1047"/>
      <c r="CW13" s="1045"/>
      <c r="CX13" s="1046"/>
      <c r="CY13" s="1048"/>
    </row>
    <row r="14" spans="1:103" ht="16.2" customHeight="1" outlineLevel="1">
      <c r="A14" s="141">
        <f t="shared" si="59"/>
        <v>13</v>
      </c>
      <c r="B14" s="102" t="s">
        <v>148</v>
      </c>
      <c r="C14" s="103" t="s">
        <v>265</v>
      </c>
      <c r="D14" s="476">
        <v>21.449000000000002</v>
      </c>
      <c r="E14" s="477">
        <v>21.449000000000002</v>
      </c>
      <c r="F14" s="477">
        <v>21.449000000000002</v>
      </c>
      <c r="G14" s="316">
        <v>15.468</v>
      </c>
      <c r="H14" s="317">
        <v>3.5070000000000001</v>
      </c>
      <c r="I14" s="318">
        <v>0</v>
      </c>
      <c r="J14" s="319">
        <f t="shared" si="1"/>
        <v>-0.83649587393351665</v>
      </c>
      <c r="K14" s="320">
        <v>3.5070000000000001</v>
      </c>
      <c r="L14" s="318">
        <v>0</v>
      </c>
      <c r="M14" s="319">
        <f t="shared" si="3"/>
        <v>-0.83649587393351665</v>
      </c>
      <c r="N14" s="320">
        <v>1.169</v>
      </c>
      <c r="O14" s="318">
        <f t="shared" si="4"/>
        <v>-0.66666666666666674</v>
      </c>
      <c r="P14" s="319">
        <f t="shared" si="5"/>
        <v>-0.94549862464450563</v>
      </c>
      <c r="Q14" s="320">
        <v>-1E-3</v>
      </c>
      <c r="R14" s="318">
        <f t="shared" si="6"/>
        <v>-1.0008554319931566</v>
      </c>
      <c r="S14" s="321">
        <f t="shared" si="7"/>
        <v>-1.0000646495991725</v>
      </c>
      <c r="T14" s="317" t="s">
        <v>3</v>
      </c>
      <c r="U14" s="318" t="s">
        <v>3</v>
      </c>
      <c r="V14" s="319">
        <f t="shared" si="9"/>
        <v>0</v>
      </c>
      <c r="W14" s="320" t="s">
        <v>3</v>
      </c>
      <c r="X14" s="318" t="s">
        <v>3</v>
      </c>
      <c r="Y14" s="319">
        <f t="shared" si="11"/>
        <v>0</v>
      </c>
      <c r="Z14" s="320" t="s">
        <v>3</v>
      </c>
      <c r="AA14" s="318" t="s">
        <v>3</v>
      </c>
      <c r="AB14" s="319">
        <f t="shared" si="13"/>
        <v>0</v>
      </c>
      <c r="AC14" s="320" t="s">
        <v>3</v>
      </c>
      <c r="AD14" s="318" t="s">
        <v>3</v>
      </c>
      <c r="AE14" s="321">
        <f t="shared" si="15"/>
        <v>0</v>
      </c>
      <c r="AF14" s="317" t="s">
        <v>3</v>
      </c>
      <c r="AG14" s="318" t="s">
        <v>3</v>
      </c>
      <c r="AH14" s="319">
        <f t="shared" si="17"/>
        <v>0</v>
      </c>
      <c r="AI14" s="320" t="s">
        <v>3</v>
      </c>
      <c r="AJ14" s="318" t="s">
        <v>3</v>
      </c>
      <c r="AK14" s="319">
        <f t="shared" si="19"/>
        <v>0</v>
      </c>
      <c r="AL14" s="320" t="s">
        <v>3</v>
      </c>
      <c r="AM14" s="318" t="s">
        <v>3</v>
      </c>
      <c r="AN14" s="319">
        <f t="shared" si="21"/>
        <v>0</v>
      </c>
      <c r="AO14" s="320" t="s">
        <v>3</v>
      </c>
      <c r="AP14" s="318" t="s">
        <v>3</v>
      </c>
      <c r="AQ14" s="321">
        <f t="shared" si="23"/>
        <v>0</v>
      </c>
      <c r="AR14" s="317">
        <v>0</v>
      </c>
      <c r="AS14" s="318" t="s">
        <v>3</v>
      </c>
      <c r="AT14" s="319">
        <f t="shared" si="25"/>
        <v>0</v>
      </c>
      <c r="AU14" s="320">
        <v>0</v>
      </c>
      <c r="AV14" s="318" t="s">
        <v>3</v>
      </c>
      <c r="AW14" s="319">
        <f t="shared" si="27"/>
        <v>0</v>
      </c>
      <c r="AX14" s="320">
        <v>0</v>
      </c>
      <c r="AY14" s="318" t="s">
        <v>3</v>
      </c>
      <c r="AZ14" s="319">
        <f t="shared" si="29"/>
        <v>0</v>
      </c>
      <c r="BA14" s="320">
        <v>0</v>
      </c>
      <c r="BB14" s="318" t="s">
        <v>3</v>
      </c>
      <c r="BC14" s="321">
        <f t="shared" si="31"/>
        <v>0</v>
      </c>
      <c r="BD14" s="317">
        <v>11.087277</v>
      </c>
      <c r="BE14" s="318">
        <v>0</v>
      </c>
      <c r="BF14" s="319">
        <f>IFERROR(BD14/#REF!-1,)</f>
        <v>0</v>
      </c>
      <c r="BG14" s="320">
        <v>505.73928699999999</v>
      </c>
      <c r="BH14" s="318">
        <v>0</v>
      </c>
      <c r="BI14" s="319">
        <f>IFERROR(BG14/#REF!-1,)</f>
        <v>0</v>
      </c>
      <c r="BJ14" s="320">
        <v>505.94600500000001</v>
      </c>
      <c r="BK14" s="318">
        <v>0</v>
      </c>
      <c r="BL14" s="319">
        <f t="shared" si="61"/>
        <v>0</v>
      </c>
      <c r="BM14" s="320">
        <v>505.94600000000003</v>
      </c>
      <c r="BN14" s="318">
        <v>0</v>
      </c>
      <c r="BO14" s="321">
        <f t="shared" si="62"/>
        <v>22.588325796074407</v>
      </c>
      <c r="BP14" s="317">
        <v>420.39499999999998</v>
      </c>
      <c r="BQ14" s="318">
        <f t="shared" si="35"/>
        <v>-0.16909116783214029</v>
      </c>
      <c r="BR14" s="319">
        <f t="shared" si="36"/>
        <v>36.916884371158041</v>
      </c>
      <c r="BS14" s="320">
        <v>366.75200000000001</v>
      </c>
      <c r="BT14" s="318">
        <v>0</v>
      </c>
      <c r="BU14" s="319">
        <f t="shared" si="38"/>
        <v>-0.27482003192684534</v>
      </c>
      <c r="BV14" s="320">
        <v>570.86800000000005</v>
      </c>
      <c r="BW14" s="318">
        <v>0</v>
      </c>
      <c r="BX14" s="319">
        <f t="shared" si="40"/>
        <v>0.1283180306957854</v>
      </c>
      <c r="BY14" s="320">
        <v>600.09500000000003</v>
      </c>
      <c r="BZ14" s="318">
        <v>0</v>
      </c>
      <c r="CA14" s="321">
        <f t="shared" si="42"/>
        <v>0.186085076272962</v>
      </c>
      <c r="CB14" s="317">
        <v>1220</v>
      </c>
      <c r="CC14" s="318">
        <f t="shared" si="43"/>
        <v>1.0330114398553563</v>
      </c>
      <c r="CD14" s="319">
        <f t="shared" si="44"/>
        <v>1.9020326121861584</v>
      </c>
      <c r="CE14" s="1045"/>
      <c r="CF14" s="1046"/>
      <c r="CG14" s="1047"/>
      <c r="CH14" s="1045"/>
      <c r="CI14" s="1046"/>
      <c r="CJ14" s="1047"/>
      <c r="CK14" s="1045"/>
      <c r="CL14" s="1046"/>
      <c r="CM14" s="1048"/>
      <c r="CN14" s="1045"/>
      <c r="CO14" s="1046"/>
      <c r="CP14" s="1047"/>
      <c r="CQ14" s="1045"/>
      <c r="CR14" s="1046"/>
      <c r="CS14" s="1047"/>
      <c r="CT14" s="1045"/>
      <c r="CU14" s="1046"/>
      <c r="CV14" s="1047"/>
      <c r="CW14" s="1045"/>
      <c r="CX14" s="1046"/>
      <c r="CY14" s="1048"/>
    </row>
    <row r="15" spans="1:103" ht="16.2" customHeight="1" outlineLevel="1">
      <c r="A15" s="141">
        <f t="shared" si="59"/>
        <v>14</v>
      </c>
      <c r="B15" s="102" t="s">
        <v>149</v>
      </c>
      <c r="C15" s="103" t="s">
        <v>267</v>
      </c>
      <c r="D15" s="476">
        <v>86.313000000000002</v>
      </c>
      <c r="E15" s="477">
        <v>121.852</v>
      </c>
      <c r="F15" s="477">
        <v>102.985</v>
      </c>
      <c r="G15" s="316">
        <v>121.78</v>
      </c>
      <c r="H15" s="317">
        <v>115.982</v>
      </c>
      <c r="I15" s="318">
        <f t="shared" ref="I15:I31" si="63">H15/G15-1</f>
        <v>-4.761044506487111E-2</v>
      </c>
      <c r="J15" s="319">
        <f t="shared" si="1"/>
        <v>0.34373732809657875</v>
      </c>
      <c r="K15" s="320">
        <v>111.672</v>
      </c>
      <c r="L15" s="318">
        <f t="shared" ref="L15:L29" si="64">K15/H15-1</f>
        <v>-3.7160938766360285E-2</v>
      </c>
      <c r="M15" s="319">
        <f t="shared" si="3"/>
        <v>-8.3543971375110826E-2</v>
      </c>
      <c r="N15" s="320">
        <v>70.001000000000005</v>
      </c>
      <c r="O15" s="318">
        <f t="shared" si="4"/>
        <v>-0.37315531198509921</v>
      </c>
      <c r="P15" s="319">
        <f t="shared" si="5"/>
        <v>-0.32027965237655964</v>
      </c>
      <c r="Q15" s="320">
        <v>101.26</v>
      </c>
      <c r="R15" s="318">
        <f t="shared" si="6"/>
        <v>0.44655076356052059</v>
      </c>
      <c r="S15" s="321">
        <f t="shared" si="7"/>
        <v>-0.16850057480702907</v>
      </c>
      <c r="T15" s="317">
        <v>45.539000000000001</v>
      </c>
      <c r="U15" s="318">
        <f t="shared" ref="U15:U31" si="65">T15/Q15-1</f>
        <v>-0.55027651589966431</v>
      </c>
      <c r="V15" s="319">
        <f t="shared" si="9"/>
        <v>-0.60736148712731286</v>
      </c>
      <c r="W15" s="320">
        <v>-11.041</v>
      </c>
      <c r="X15" s="318">
        <f t="shared" ref="X15:X31" si="66">W15/T15-1</f>
        <v>-1.2424515250664265</v>
      </c>
      <c r="Y15" s="319">
        <f t="shared" si="11"/>
        <v>-1.0988699047209685</v>
      </c>
      <c r="Z15" s="320">
        <v>-0.71899999999999997</v>
      </c>
      <c r="AA15" s="318">
        <f t="shared" ref="AA15:AA31" si="67">Z15/W15-1</f>
        <v>-0.9348790870392174</v>
      </c>
      <c r="AB15" s="319">
        <f t="shared" si="13"/>
        <v>-1.0102712818388309</v>
      </c>
      <c r="AC15" s="320">
        <v>5.2060000000000004</v>
      </c>
      <c r="AD15" s="318">
        <f t="shared" ref="AD15:AD31" si="68">AC15/Z15-1</f>
        <v>-8.2406119610570236</v>
      </c>
      <c r="AE15" s="321">
        <f t="shared" si="15"/>
        <v>-0.9485877937981434</v>
      </c>
      <c r="AF15" s="317">
        <v>1.6359999999999999</v>
      </c>
      <c r="AG15" s="318">
        <f t="shared" ref="AG15:AG31" si="69">AF15/AC15-1</f>
        <v>-0.68574721475220901</v>
      </c>
      <c r="AH15" s="319">
        <f t="shared" si="17"/>
        <v>-0.96407474911614222</v>
      </c>
      <c r="AI15" s="320">
        <v>1.042</v>
      </c>
      <c r="AJ15" s="318">
        <f t="shared" ref="AJ15:AJ31" si="70">AI15/AF15-1</f>
        <v>-0.36308068459657694</v>
      </c>
      <c r="AK15" s="319">
        <f t="shared" si="19"/>
        <v>-1.0943755094647223</v>
      </c>
      <c r="AL15" s="320">
        <v>1.2829999999999999</v>
      </c>
      <c r="AM15" s="318">
        <f t="shared" ref="AM15:AM31" si="71">AL15/AI15-1</f>
        <v>0.23128598848368509</v>
      </c>
      <c r="AN15" s="319">
        <f t="shared" si="21"/>
        <v>-2.7844228094575803</v>
      </c>
      <c r="AO15" s="320">
        <v>3.407</v>
      </c>
      <c r="AP15" s="318">
        <f>AO15/AL15-1</f>
        <v>1.6554949337490261</v>
      </c>
      <c r="AQ15" s="321">
        <f t="shared" si="23"/>
        <v>-0.34556281213983864</v>
      </c>
      <c r="AR15" s="317">
        <v>27.038</v>
      </c>
      <c r="AS15" s="318">
        <f>AR15/AO15-1</f>
        <v>6.9360140886410333</v>
      </c>
      <c r="AT15" s="319">
        <f t="shared" si="25"/>
        <v>15.526894865525673</v>
      </c>
      <c r="AU15" s="320">
        <v>83.067340000000002</v>
      </c>
      <c r="AV15" s="318">
        <f t="shared" ref="AV15:AV31" si="72">AU15/AR15-1</f>
        <v>2.072244248834973</v>
      </c>
      <c r="AW15" s="319">
        <f t="shared" si="27"/>
        <v>78.719136276391552</v>
      </c>
      <c r="AX15" s="320">
        <v>21.423727</v>
      </c>
      <c r="AY15" s="318">
        <f t="shared" ref="AY15:AY31" si="73">AX15/AU15-1</f>
        <v>-0.74209205447050552</v>
      </c>
      <c r="AZ15" s="319">
        <f t="shared" si="29"/>
        <v>15.698150428682776</v>
      </c>
      <c r="BA15" s="320">
        <v>181.33514799999998</v>
      </c>
      <c r="BB15" s="318">
        <f t="shared" ref="BB15:BB31" si="74">BA15/AX15-1</f>
        <v>7.4642204411958755</v>
      </c>
      <c r="BC15" s="321">
        <f t="shared" si="31"/>
        <v>52.224287643087756</v>
      </c>
      <c r="BD15" s="317">
        <v>297.81257699999998</v>
      </c>
      <c r="BE15" s="318">
        <f t="shared" ref="BE15:BE31" si="75">BD15/E15-1</f>
        <v>1.4440516117913531</v>
      </c>
      <c r="BF15" s="319">
        <f>IFERROR(BD15/#REF!-1,)</f>
        <v>0</v>
      </c>
      <c r="BG15" s="320">
        <v>205.480391</v>
      </c>
      <c r="BH15" s="318">
        <f t="shared" ref="BH15:BH31" si="76">BG15/BD15-1</f>
        <v>-0.3100345422953712</v>
      </c>
      <c r="BI15" s="319">
        <f>IFERROR(BG15/#REF!-1,)</f>
        <v>0</v>
      </c>
      <c r="BJ15" s="320">
        <v>329.74875400000002</v>
      </c>
      <c r="BK15" s="318">
        <f t="shared" ref="BK15:BK31" si="77">BJ15/BG15-1</f>
        <v>0.60476993641695009</v>
      </c>
      <c r="BL15" s="319">
        <f t="shared" si="61"/>
        <v>0</v>
      </c>
      <c r="BM15" s="320">
        <v>178.56</v>
      </c>
      <c r="BN15" s="318">
        <f t="shared" ref="BN15:BN31" si="78">BM15/BJ15-1</f>
        <v>-0.45849681663998043</v>
      </c>
      <c r="BO15" s="321">
        <f t="shared" si="62"/>
        <v>0.46538423661490991</v>
      </c>
      <c r="BP15" s="317">
        <v>360.69</v>
      </c>
      <c r="BQ15" s="318">
        <f t="shared" si="35"/>
        <v>1.0199932795698925</v>
      </c>
      <c r="BR15" s="319">
        <f t="shared" si="36"/>
        <v>0.21113085160268441</v>
      </c>
      <c r="BS15" s="320">
        <v>297.80900000000003</v>
      </c>
      <c r="BT15" s="318">
        <f t="shared" ref="BT15:BT29" si="79">BS15/BP15-1</f>
        <v>-0.17433530178269419</v>
      </c>
      <c r="BU15" s="319">
        <f t="shared" si="38"/>
        <v>0.44933051056925444</v>
      </c>
      <c r="BV15" s="320">
        <v>201.619</v>
      </c>
      <c r="BW15" s="318">
        <f t="shared" ref="BW15:BW29" si="80">BV15/BS15-1</f>
        <v>-0.32299225342417459</v>
      </c>
      <c r="BX15" s="319">
        <f t="shared" si="40"/>
        <v>-0.38856781851554778</v>
      </c>
      <c r="BY15" s="320">
        <v>371.60500000000002</v>
      </c>
      <c r="BZ15" s="318">
        <f t="shared" ref="BZ15:BZ29" si="81">BY15/BV15-1</f>
        <v>0.8431050645028495</v>
      </c>
      <c r="CA15" s="321">
        <f t="shared" si="42"/>
        <v>1.0811211917562726</v>
      </c>
      <c r="CB15" s="317">
        <v>341</v>
      </c>
      <c r="CC15" s="318">
        <f t="shared" si="43"/>
        <v>-8.2358956418777995E-2</v>
      </c>
      <c r="CD15" s="319">
        <f t="shared" si="44"/>
        <v>-5.458981396767304E-2</v>
      </c>
      <c r="CE15" s="1045"/>
      <c r="CF15" s="1046"/>
      <c r="CG15" s="1047"/>
      <c r="CH15" s="1045"/>
      <c r="CI15" s="1046"/>
      <c r="CJ15" s="1047"/>
      <c r="CK15" s="1045"/>
      <c r="CL15" s="1046"/>
      <c r="CM15" s="1048"/>
      <c r="CN15" s="1045"/>
      <c r="CO15" s="1046"/>
      <c r="CP15" s="1047"/>
      <c r="CQ15" s="1045"/>
      <c r="CR15" s="1046"/>
      <c r="CS15" s="1047"/>
      <c r="CT15" s="1045"/>
      <c r="CU15" s="1046"/>
      <c r="CV15" s="1047"/>
      <c r="CW15" s="1045"/>
      <c r="CX15" s="1046"/>
      <c r="CY15" s="1048"/>
    </row>
    <row r="16" spans="1:103" ht="16.2" customHeight="1" outlineLevel="1">
      <c r="A16" s="141">
        <f t="shared" si="59"/>
        <v>15</v>
      </c>
      <c r="B16" s="102" t="s">
        <v>50</v>
      </c>
      <c r="C16" s="103" t="s">
        <v>266</v>
      </c>
      <c r="D16" s="476">
        <v>6.98</v>
      </c>
      <c r="E16" s="477">
        <v>2.0939999999999999</v>
      </c>
      <c r="F16" s="477">
        <v>3.9</v>
      </c>
      <c r="G16" s="316">
        <v>6.88</v>
      </c>
      <c r="H16" s="317">
        <v>8.3049999999999997</v>
      </c>
      <c r="I16" s="318">
        <f t="shared" si="63"/>
        <v>0.20712209302325579</v>
      </c>
      <c r="J16" s="319">
        <f t="shared" si="1"/>
        <v>0.18982808022922626</v>
      </c>
      <c r="K16" s="320">
        <v>14.113</v>
      </c>
      <c r="L16" s="318">
        <f t="shared" si="64"/>
        <v>0.69933774834437079</v>
      </c>
      <c r="M16" s="319">
        <f t="shared" si="3"/>
        <v>5.7397325692454633</v>
      </c>
      <c r="N16" s="320">
        <v>11.329000000000001</v>
      </c>
      <c r="O16" s="318">
        <f t="shared" si="4"/>
        <v>-0.19726493304045911</v>
      </c>
      <c r="P16" s="319">
        <f t="shared" si="5"/>
        <v>1.904871794871795</v>
      </c>
      <c r="Q16" s="320">
        <v>75.156000000000006</v>
      </c>
      <c r="R16" s="318">
        <f t="shared" si="6"/>
        <v>5.633948274340189</v>
      </c>
      <c r="S16" s="321">
        <f t="shared" si="7"/>
        <v>9.9238372093023273</v>
      </c>
      <c r="T16" s="317">
        <v>6.5110000000000001</v>
      </c>
      <c r="U16" s="318">
        <f t="shared" si="65"/>
        <v>-0.91336686359039865</v>
      </c>
      <c r="V16" s="319">
        <f t="shared" si="9"/>
        <v>-0.21601444912703183</v>
      </c>
      <c r="W16" s="320">
        <v>7.0659999999999998</v>
      </c>
      <c r="X16" s="318">
        <f t="shared" si="66"/>
        <v>8.5240362463523178E-2</v>
      </c>
      <c r="Y16" s="319">
        <f t="shared" si="11"/>
        <v>-0.49932686175866225</v>
      </c>
      <c r="Z16" s="320">
        <v>14.558999999999999</v>
      </c>
      <c r="AA16" s="318">
        <f t="shared" si="67"/>
        <v>1.0604302292669119</v>
      </c>
      <c r="AB16" s="319">
        <f t="shared" si="13"/>
        <v>0.28510901226939689</v>
      </c>
      <c r="AC16" s="320">
        <v>24.457999999999998</v>
      </c>
      <c r="AD16" s="318">
        <f t="shared" si="68"/>
        <v>0.67992307163953569</v>
      </c>
      <c r="AE16" s="321">
        <f t="shared" si="15"/>
        <v>-0.67457022726063132</v>
      </c>
      <c r="AF16" s="317">
        <v>4.38</v>
      </c>
      <c r="AG16" s="318">
        <f t="shared" si="69"/>
        <v>-0.82091749120942026</v>
      </c>
      <c r="AH16" s="319">
        <f t="shared" si="17"/>
        <v>-0.32729227461219479</v>
      </c>
      <c r="AI16" s="320">
        <v>11.852</v>
      </c>
      <c r="AJ16" s="318">
        <f t="shared" si="70"/>
        <v>1.7059360730593607</v>
      </c>
      <c r="AK16" s="319">
        <f t="shared" si="19"/>
        <v>0.67732804981602057</v>
      </c>
      <c r="AL16" s="320">
        <v>10.122999999999999</v>
      </c>
      <c r="AM16" s="318">
        <f t="shared" si="71"/>
        <v>-0.14588255146810669</v>
      </c>
      <c r="AN16" s="319">
        <f t="shared" si="21"/>
        <v>-0.30469125626760085</v>
      </c>
      <c r="AO16" s="320">
        <v>10.77</v>
      </c>
      <c r="AP16" s="318">
        <f>AO16/AL16-1</f>
        <v>6.3913859527807926E-2</v>
      </c>
      <c r="AQ16" s="321">
        <f t="shared" si="23"/>
        <v>-0.55965328317932783</v>
      </c>
      <c r="AR16" s="317">
        <v>0.79100000000000004</v>
      </c>
      <c r="AS16" s="318">
        <f>AR16/AO16-1</f>
        <v>-0.92655524605385331</v>
      </c>
      <c r="AT16" s="319">
        <f t="shared" si="25"/>
        <v>-0.8194063926940639</v>
      </c>
      <c r="AU16" s="320">
        <v>15.033637000000001</v>
      </c>
      <c r="AV16" s="318">
        <f t="shared" si="72"/>
        <v>18.005862199747156</v>
      </c>
      <c r="AW16" s="319">
        <f t="shared" si="27"/>
        <v>0.26844726628417148</v>
      </c>
      <c r="AX16" s="320">
        <v>12.58849</v>
      </c>
      <c r="AY16" s="318">
        <f t="shared" si="73"/>
        <v>-0.16264507384340865</v>
      </c>
      <c r="AZ16" s="319">
        <f t="shared" si="29"/>
        <v>0.24355329447792173</v>
      </c>
      <c r="BA16" s="320">
        <v>30.456054999999999</v>
      </c>
      <c r="BB16" s="318">
        <f t="shared" si="74"/>
        <v>1.4193572859016448</v>
      </c>
      <c r="BC16" s="321">
        <f t="shared" si="31"/>
        <v>1.82786025998143</v>
      </c>
      <c r="BD16" s="317">
        <v>57.180141000000006</v>
      </c>
      <c r="BE16" s="318">
        <f t="shared" si="75"/>
        <v>26.306657593123212</v>
      </c>
      <c r="BF16" s="319">
        <f>IFERROR(BD16/#REF!-1,)</f>
        <v>0</v>
      </c>
      <c r="BG16" s="320">
        <v>36.38579</v>
      </c>
      <c r="BH16" s="318">
        <f t="shared" si="76"/>
        <v>-0.36366386364804526</v>
      </c>
      <c r="BI16" s="319">
        <f>IFERROR(BG16/#REF!-1,)</f>
        <v>0</v>
      </c>
      <c r="BJ16" s="320">
        <v>40.064523000000001</v>
      </c>
      <c r="BK16" s="318">
        <f t="shared" si="77"/>
        <v>0.10110356268202514</v>
      </c>
      <c r="BL16" s="319">
        <f t="shared" si="61"/>
        <v>0</v>
      </c>
      <c r="BM16" s="320">
        <v>46.426000000000002</v>
      </c>
      <c r="BN16" s="318">
        <f t="shared" si="78"/>
        <v>0.15878079966158598</v>
      </c>
      <c r="BO16" s="321">
        <f t="shared" si="62"/>
        <v>21.170964660936011</v>
      </c>
      <c r="BP16" s="317">
        <v>49.115000000000002</v>
      </c>
      <c r="BQ16" s="318">
        <f t="shared" si="35"/>
        <v>5.7920130961099492E-2</v>
      </c>
      <c r="BR16" s="319">
        <f t="shared" si="36"/>
        <v>-0.1410479383043145</v>
      </c>
      <c r="BS16" s="320">
        <v>61.862000000000002</v>
      </c>
      <c r="BT16" s="318">
        <f t="shared" si="79"/>
        <v>0.25953374732770018</v>
      </c>
      <c r="BU16" s="319">
        <f t="shared" si="38"/>
        <v>0.70016921441035085</v>
      </c>
      <c r="BV16" s="320">
        <v>46.462000000000003</v>
      </c>
      <c r="BW16" s="318">
        <f t="shared" si="80"/>
        <v>-0.24894119168471762</v>
      </c>
      <c r="BX16" s="319">
        <f t="shared" si="40"/>
        <v>0.15967935023212432</v>
      </c>
      <c r="BY16" s="320">
        <v>79.42</v>
      </c>
      <c r="BZ16" s="318">
        <f t="shared" si="81"/>
        <v>0.70935388059059012</v>
      </c>
      <c r="CA16" s="321">
        <f t="shared" si="42"/>
        <v>0.71067936070305437</v>
      </c>
      <c r="CB16" s="317">
        <v>86</v>
      </c>
      <c r="CC16" s="318">
        <f t="shared" si="43"/>
        <v>8.28506673382019E-2</v>
      </c>
      <c r="CD16" s="319">
        <f t="shared" si="44"/>
        <v>0.75099256846177331</v>
      </c>
      <c r="CE16" s="1045"/>
      <c r="CF16" s="1046"/>
      <c r="CG16" s="1047"/>
      <c r="CH16" s="1045"/>
      <c r="CI16" s="1046"/>
      <c r="CJ16" s="1047"/>
      <c r="CK16" s="1045"/>
      <c r="CL16" s="1046"/>
      <c r="CM16" s="1048"/>
      <c r="CN16" s="1045"/>
      <c r="CO16" s="1046"/>
      <c r="CP16" s="1047"/>
      <c r="CQ16" s="1045"/>
      <c r="CR16" s="1046"/>
      <c r="CS16" s="1047"/>
      <c r="CT16" s="1045"/>
      <c r="CU16" s="1046"/>
      <c r="CV16" s="1047"/>
      <c r="CW16" s="1045"/>
      <c r="CX16" s="1046"/>
      <c r="CY16" s="1048"/>
    </row>
    <row r="17" spans="1:103" ht="16.2" customHeight="1" outlineLevel="1">
      <c r="A17" s="141">
        <f t="shared" si="59"/>
        <v>16</v>
      </c>
      <c r="B17" s="102" t="s">
        <v>150</v>
      </c>
      <c r="C17" s="103" t="s">
        <v>65</v>
      </c>
      <c r="D17" s="476">
        <v>7.8369999999999997</v>
      </c>
      <c r="E17" s="477">
        <v>8.0359999999999996</v>
      </c>
      <c r="F17" s="477">
        <v>8.0220000000000002</v>
      </c>
      <c r="G17" s="316">
        <v>5.4889999999999999</v>
      </c>
      <c r="H17" s="317">
        <v>8.2189999999999994</v>
      </c>
      <c r="I17" s="318">
        <f t="shared" si="63"/>
        <v>0.49735835306977583</v>
      </c>
      <c r="J17" s="319">
        <f t="shared" si="1"/>
        <v>4.8743141508230226E-2</v>
      </c>
      <c r="K17" s="320">
        <v>9.1300000000000008</v>
      </c>
      <c r="L17" s="318">
        <f t="shared" si="64"/>
        <v>0.11084073488258928</v>
      </c>
      <c r="M17" s="319">
        <f t="shared" si="3"/>
        <v>0.13613738178198131</v>
      </c>
      <c r="N17" s="320">
        <v>8.4740000000000002</v>
      </c>
      <c r="O17" s="318">
        <f t="shared" si="4"/>
        <v>-7.1851040525739429E-2</v>
      </c>
      <c r="P17" s="319">
        <f t="shared" si="5"/>
        <v>5.6345051109448985E-2</v>
      </c>
      <c r="Q17" s="320">
        <v>9.0050000000000008</v>
      </c>
      <c r="R17" s="318">
        <f t="shared" si="6"/>
        <v>6.2662261033750388E-2</v>
      </c>
      <c r="S17" s="321">
        <f t="shared" si="7"/>
        <v>0.64055383494261275</v>
      </c>
      <c r="T17" s="317">
        <v>9.0370000000000008</v>
      </c>
      <c r="U17" s="318">
        <f t="shared" si="65"/>
        <v>3.5535813436979868E-3</v>
      </c>
      <c r="V17" s="319">
        <f t="shared" si="9"/>
        <v>9.9525489718944149E-2</v>
      </c>
      <c r="W17" s="320">
        <v>8.5630000000000006</v>
      </c>
      <c r="X17" s="318">
        <f t="shared" si="66"/>
        <v>-5.2451034635387916E-2</v>
      </c>
      <c r="Y17" s="319">
        <f t="shared" si="11"/>
        <v>-6.2102957283680205E-2</v>
      </c>
      <c r="Z17" s="320">
        <v>8.0719999999999992</v>
      </c>
      <c r="AA17" s="318">
        <f t="shared" si="67"/>
        <v>-5.7339717388765754E-2</v>
      </c>
      <c r="AB17" s="319">
        <f t="shared" si="13"/>
        <v>-4.7439225867359047E-2</v>
      </c>
      <c r="AC17" s="320">
        <v>8.1579999999999995</v>
      </c>
      <c r="AD17" s="318">
        <f t="shared" si="68"/>
        <v>1.0654112983151665E-2</v>
      </c>
      <c r="AE17" s="321">
        <f t="shared" si="15"/>
        <v>-9.405885619100518E-2</v>
      </c>
      <c r="AF17" s="317">
        <v>8.8840000000000003</v>
      </c>
      <c r="AG17" s="318">
        <f t="shared" si="69"/>
        <v>8.8992400098063307E-2</v>
      </c>
      <c r="AH17" s="319">
        <f t="shared" si="17"/>
        <v>-1.6930397255726537E-2</v>
      </c>
      <c r="AI17" s="320">
        <v>8.4779999999999998</v>
      </c>
      <c r="AJ17" s="318">
        <f t="shared" si="70"/>
        <v>-4.5700135074290937E-2</v>
      </c>
      <c r="AK17" s="319">
        <f t="shared" si="19"/>
        <v>-9.9264276538597596E-3</v>
      </c>
      <c r="AL17" s="320">
        <v>18.481999999999999</v>
      </c>
      <c r="AM17" s="318">
        <f t="shared" si="71"/>
        <v>1.1799952819061099</v>
      </c>
      <c r="AN17" s="319">
        <f t="shared" si="21"/>
        <v>1.2896432111000991</v>
      </c>
      <c r="AO17" s="320">
        <v>0</v>
      </c>
      <c r="AP17" s="318"/>
      <c r="AQ17" s="321">
        <f t="shared" si="23"/>
        <v>-1</v>
      </c>
      <c r="AR17" s="317">
        <v>8.4570000000000007</v>
      </c>
      <c r="AS17" s="318"/>
      <c r="AT17" s="319">
        <f t="shared" si="25"/>
        <v>-4.8063935164340377E-2</v>
      </c>
      <c r="AU17" s="320">
        <v>7.1775089999999997</v>
      </c>
      <c r="AV17" s="318">
        <f t="shared" si="72"/>
        <v>-0.15129372117772266</v>
      </c>
      <c r="AW17" s="319">
        <f t="shared" si="27"/>
        <v>-0.15339596602972405</v>
      </c>
      <c r="AX17" s="320">
        <v>8.8197710000000011</v>
      </c>
      <c r="AY17" s="318">
        <f t="shared" si="73"/>
        <v>0.22880667930893583</v>
      </c>
      <c r="AZ17" s="319">
        <f t="shared" si="29"/>
        <v>-0.52279131046423544</v>
      </c>
      <c r="BA17" s="320">
        <v>12.125935</v>
      </c>
      <c r="BB17" s="318">
        <f t="shared" si="74"/>
        <v>0.37485825879152634</v>
      </c>
      <c r="BC17" s="321">
        <f t="shared" si="31"/>
        <v>0</v>
      </c>
      <c r="BD17" s="317">
        <v>14.199509000000001</v>
      </c>
      <c r="BE17" s="318">
        <f t="shared" si="75"/>
        <v>0.76698718267794952</v>
      </c>
      <c r="BF17" s="319">
        <f>IFERROR(BD17/#REF!-1,)</f>
        <v>0</v>
      </c>
      <c r="BG17" s="320">
        <v>11.701801</v>
      </c>
      <c r="BH17" s="318">
        <f t="shared" si="76"/>
        <v>-0.17590101178850626</v>
      </c>
      <c r="BI17" s="319">
        <f>IFERROR(BG17/#REF!-1,)</f>
        <v>0</v>
      </c>
      <c r="BJ17" s="320">
        <v>9.9732070000000004</v>
      </c>
      <c r="BK17" s="318">
        <f t="shared" si="77"/>
        <v>-0.14772033809154672</v>
      </c>
      <c r="BL17" s="319">
        <f t="shared" si="61"/>
        <v>0</v>
      </c>
      <c r="BM17" s="320">
        <v>19.741</v>
      </c>
      <c r="BN17" s="318">
        <f t="shared" si="78"/>
        <v>0.97940341557134025</v>
      </c>
      <c r="BO17" s="321">
        <f t="shared" si="62"/>
        <v>1.4565704330512692</v>
      </c>
      <c r="BP17" s="317">
        <v>12.244</v>
      </c>
      <c r="BQ17" s="318">
        <f t="shared" si="35"/>
        <v>-0.37976799554227247</v>
      </c>
      <c r="BR17" s="319">
        <f t="shared" si="36"/>
        <v>-0.13771666330152688</v>
      </c>
      <c r="BS17" s="320">
        <v>13.321</v>
      </c>
      <c r="BT17" s="318">
        <f t="shared" si="79"/>
        <v>8.7961450506370387E-2</v>
      </c>
      <c r="BU17" s="319">
        <f t="shared" si="38"/>
        <v>0.13837177713071691</v>
      </c>
      <c r="BV17" s="320">
        <v>12.759</v>
      </c>
      <c r="BW17" s="318">
        <f t="shared" si="80"/>
        <v>-4.2189024847984369E-2</v>
      </c>
      <c r="BX17" s="319">
        <f t="shared" si="40"/>
        <v>0.27932770271388119</v>
      </c>
      <c r="BY17" s="320">
        <v>20.367999999999999</v>
      </c>
      <c r="BZ17" s="318">
        <f t="shared" si="81"/>
        <v>0.59636335135982432</v>
      </c>
      <c r="CA17" s="321">
        <f t="shared" si="42"/>
        <v>3.1761308950914335E-2</v>
      </c>
      <c r="CB17" s="317">
        <v>16</v>
      </c>
      <c r="CC17" s="318">
        <f t="shared" si="43"/>
        <v>-0.21445404556166525</v>
      </c>
      <c r="CD17" s="319">
        <f t="shared" si="44"/>
        <v>0.30676249591636728</v>
      </c>
      <c r="CE17" s="1045"/>
      <c r="CF17" s="1046"/>
      <c r="CG17" s="1047"/>
      <c r="CH17" s="1045"/>
      <c r="CI17" s="1046"/>
      <c r="CJ17" s="1047"/>
      <c r="CK17" s="1045"/>
      <c r="CL17" s="1046"/>
      <c r="CM17" s="1048"/>
      <c r="CN17" s="1045"/>
      <c r="CO17" s="1046"/>
      <c r="CP17" s="1047"/>
      <c r="CQ17" s="1045"/>
      <c r="CR17" s="1046"/>
      <c r="CS17" s="1047"/>
      <c r="CT17" s="1045"/>
      <c r="CU17" s="1046"/>
      <c r="CV17" s="1047"/>
      <c r="CW17" s="1045"/>
      <c r="CX17" s="1046"/>
      <c r="CY17" s="1048"/>
    </row>
    <row r="18" spans="1:103" ht="16.2" customHeight="1" outlineLevel="1">
      <c r="A18" s="141">
        <f t="shared" si="59"/>
        <v>17</v>
      </c>
      <c r="B18" s="102" t="s">
        <v>151</v>
      </c>
      <c r="C18" s="103" t="s">
        <v>268</v>
      </c>
      <c r="D18" s="476">
        <v>24.66</v>
      </c>
      <c r="E18" s="477">
        <v>15.311</v>
      </c>
      <c r="F18" s="477">
        <v>20.995000000000001</v>
      </c>
      <c r="G18" s="316">
        <v>18.510000000000002</v>
      </c>
      <c r="H18" s="317">
        <v>21.155999999999999</v>
      </c>
      <c r="I18" s="318">
        <f t="shared" si="63"/>
        <v>0.14294975688816836</v>
      </c>
      <c r="J18" s="319">
        <f t="shared" si="1"/>
        <v>-0.14209245742092458</v>
      </c>
      <c r="K18" s="320">
        <v>12.21</v>
      </c>
      <c r="L18" s="318">
        <f t="shared" si="64"/>
        <v>-0.42285876347135554</v>
      </c>
      <c r="M18" s="319">
        <f t="shared" si="3"/>
        <v>-0.20253412579191421</v>
      </c>
      <c r="N18" s="320">
        <v>16.606999999999999</v>
      </c>
      <c r="O18" s="318">
        <f t="shared" si="4"/>
        <v>0.36011466011465987</v>
      </c>
      <c r="P18" s="319">
        <f t="shared" si="5"/>
        <v>-0.20900214336746847</v>
      </c>
      <c r="Q18" s="320">
        <v>14.077999999999999</v>
      </c>
      <c r="R18" s="318">
        <f t="shared" si="6"/>
        <v>-0.15228518094779309</v>
      </c>
      <c r="S18" s="321">
        <f t="shared" si="7"/>
        <v>-0.23943814154511089</v>
      </c>
      <c r="T18" s="317">
        <v>18.751000000000001</v>
      </c>
      <c r="U18" s="318">
        <f t="shared" si="65"/>
        <v>0.33193635459582338</v>
      </c>
      <c r="V18" s="319">
        <f t="shared" si="9"/>
        <v>-0.11367933446776313</v>
      </c>
      <c r="W18" s="320">
        <v>10.707000000000001</v>
      </c>
      <c r="X18" s="318">
        <f t="shared" si="66"/>
        <v>-0.42899045384246171</v>
      </c>
      <c r="Y18" s="319">
        <f t="shared" si="11"/>
        <v>-0.12309582309582312</v>
      </c>
      <c r="Z18" s="320">
        <v>13.991</v>
      </c>
      <c r="AA18" s="318">
        <f t="shared" si="67"/>
        <v>0.30671523302512371</v>
      </c>
      <c r="AB18" s="319">
        <f t="shared" si="13"/>
        <v>-0.15752393568976941</v>
      </c>
      <c r="AC18" s="320">
        <v>14.689</v>
      </c>
      <c r="AD18" s="318">
        <f t="shared" si="68"/>
        <v>4.9889214495032475E-2</v>
      </c>
      <c r="AE18" s="321">
        <f t="shared" si="15"/>
        <v>4.3401051285693937E-2</v>
      </c>
      <c r="AF18" s="317">
        <v>27.149000000000001</v>
      </c>
      <c r="AG18" s="318">
        <f t="shared" si="69"/>
        <v>0.84825379535706991</v>
      </c>
      <c r="AH18" s="319">
        <f t="shared" si="17"/>
        <v>0.4478694469628286</v>
      </c>
      <c r="AI18" s="320">
        <v>15.755000000000001</v>
      </c>
      <c r="AJ18" s="318">
        <f t="shared" si="70"/>
        <v>-0.41968396626026738</v>
      </c>
      <c r="AK18" s="319">
        <f t="shared" si="19"/>
        <v>0.47146726440646303</v>
      </c>
      <c r="AL18" s="320">
        <v>21.038</v>
      </c>
      <c r="AM18" s="318">
        <f t="shared" si="71"/>
        <v>0.33532211996191674</v>
      </c>
      <c r="AN18" s="319">
        <f t="shared" si="21"/>
        <v>0.50368093774569367</v>
      </c>
      <c r="AO18" s="320">
        <v>18.922000000000001</v>
      </c>
      <c r="AP18" s="318">
        <f t="shared" ref="AP18:AP36" si="82">AO18/AL18-1</f>
        <v>-0.10057990303260766</v>
      </c>
      <c r="AQ18" s="321">
        <f t="shared" si="23"/>
        <v>0.28817482469875411</v>
      </c>
      <c r="AR18" s="317">
        <v>35.082999999999998</v>
      </c>
      <c r="AS18" s="318">
        <f t="shared" ref="AS18:AS31" si="83">AR18/AO18-1</f>
        <v>0.85408519184018594</v>
      </c>
      <c r="AT18" s="319">
        <f t="shared" si="25"/>
        <v>0.29223912482964365</v>
      </c>
      <c r="AU18" s="320">
        <v>33.594800000000006</v>
      </c>
      <c r="AV18" s="318">
        <f t="shared" si="72"/>
        <v>-4.2419405410027422E-2</v>
      </c>
      <c r="AW18" s="319">
        <f t="shared" si="27"/>
        <v>1.1323262456363063</v>
      </c>
      <c r="AX18" s="320">
        <v>44.243822000000002</v>
      </c>
      <c r="AY18" s="318">
        <f t="shared" si="73"/>
        <v>0.31698423565551792</v>
      </c>
      <c r="AZ18" s="319">
        <f t="shared" si="29"/>
        <v>1.1030431599961976</v>
      </c>
      <c r="BA18" s="320">
        <v>21.433001000000001</v>
      </c>
      <c r="BB18" s="318">
        <f t="shared" si="74"/>
        <v>-0.51557076149524339</v>
      </c>
      <c r="BC18" s="321">
        <f t="shared" si="31"/>
        <v>0.1327027269844625</v>
      </c>
      <c r="BD18" s="317">
        <v>50.389559999999996</v>
      </c>
      <c r="BE18" s="318">
        <f t="shared" si="75"/>
        <v>2.2910691659591143</v>
      </c>
      <c r="BF18" s="319">
        <f>IFERROR(BD18/#REF!-1,)</f>
        <v>0</v>
      </c>
      <c r="BG18" s="320">
        <v>25.129489000000003</v>
      </c>
      <c r="BH18" s="318">
        <f t="shared" si="76"/>
        <v>-0.50129572474933282</v>
      </c>
      <c r="BI18" s="319">
        <f>IFERROR(BG18/#REF!-1,)</f>
        <v>0</v>
      </c>
      <c r="BJ18" s="320">
        <v>41.697078999999995</v>
      </c>
      <c r="BK18" s="318">
        <f t="shared" si="77"/>
        <v>0.65928877423651522</v>
      </c>
      <c r="BL18" s="319">
        <f t="shared" si="61"/>
        <v>0</v>
      </c>
      <c r="BM18" s="320">
        <v>32.991999999999997</v>
      </c>
      <c r="BN18" s="318">
        <f t="shared" si="78"/>
        <v>-0.20876951596537496</v>
      </c>
      <c r="BO18" s="321">
        <f t="shared" si="62"/>
        <v>1.1547906733720854</v>
      </c>
      <c r="BP18" s="317">
        <v>56.122</v>
      </c>
      <c r="BQ18" s="318">
        <f t="shared" si="35"/>
        <v>0.70107904946653754</v>
      </c>
      <c r="BR18" s="319">
        <f t="shared" si="36"/>
        <v>0.11376245396863971</v>
      </c>
      <c r="BS18" s="320">
        <v>31.164000000000001</v>
      </c>
      <c r="BT18" s="318">
        <f t="shared" si="79"/>
        <v>-0.44470973949609771</v>
      </c>
      <c r="BU18" s="319">
        <f t="shared" si="38"/>
        <v>0.24013663787592332</v>
      </c>
      <c r="BV18" s="320">
        <v>54.83</v>
      </c>
      <c r="BW18" s="318">
        <f t="shared" si="80"/>
        <v>0.75940187395712999</v>
      </c>
      <c r="BX18" s="319">
        <f t="shared" si="40"/>
        <v>0.31496021579832978</v>
      </c>
      <c r="BY18" s="320">
        <v>40.246000000000002</v>
      </c>
      <c r="BZ18" s="318">
        <f t="shared" si="81"/>
        <v>-0.26598577421119818</v>
      </c>
      <c r="CA18" s="321">
        <f t="shared" si="42"/>
        <v>0.21987148399612044</v>
      </c>
      <c r="CB18" s="317">
        <v>70</v>
      </c>
      <c r="CC18" s="318">
        <f t="shared" si="43"/>
        <v>0.73930328479848928</v>
      </c>
      <c r="CD18" s="319">
        <f t="shared" si="44"/>
        <v>0.24728270553437159</v>
      </c>
      <c r="CE18" s="1045"/>
      <c r="CF18" s="1046"/>
      <c r="CG18" s="1047"/>
      <c r="CH18" s="1045"/>
      <c r="CI18" s="1046"/>
      <c r="CJ18" s="1047"/>
      <c r="CK18" s="1045"/>
      <c r="CL18" s="1046"/>
      <c r="CM18" s="1048"/>
      <c r="CN18" s="1045"/>
      <c r="CO18" s="1046"/>
      <c r="CP18" s="1047"/>
      <c r="CQ18" s="1045"/>
      <c r="CR18" s="1046"/>
      <c r="CS18" s="1047"/>
      <c r="CT18" s="1045"/>
      <c r="CU18" s="1046"/>
      <c r="CV18" s="1047"/>
      <c r="CW18" s="1045"/>
      <c r="CX18" s="1046"/>
      <c r="CY18" s="1048"/>
    </row>
    <row r="19" spans="1:103" ht="16.2" customHeight="1" outlineLevel="1">
      <c r="A19" s="141">
        <f t="shared" si="59"/>
        <v>18</v>
      </c>
      <c r="B19" s="102" t="s">
        <v>223</v>
      </c>
      <c r="C19" s="103" t="s">
        <v>166</v>
      </c>
      <c r="D19" s="476">
        <v>75.903999999999996</v>
      </c>
      <c r="E19" s="477">
        <v>10.311999999999999</v>
      </c>
      <c r="F19" s="477">
        <v>83.013000000000005</v>
      </c>
      <c r="G19" s="316">
        <v>18.724</v>
      </c>
      <c r="H19" s="317">
        <v>46.326000000000001</v>
      </c>
      <c r="I19" s="318">
        <f t="shared" si="63"/>
        <v>1.4741508224738302</v>
      </c>
      <c r="J19" s="319">
        <f t="shared" si="1"/>
        <v>-0.38967643338954461</v>
      </c>
      <c r="K19" s="320">
        <v>12.35</v>
      </c>
      <c r="L19" s="318">
        <f t="shared" si="64"/>
        <v>-0.7334110434745067</v>
      </c>
      <c r="M19" s="319">
        <f t="shared" si="3"/>
        <v>0.19763382467028712</v>
      </c>
      <c r="N19" s="320">
        <v>86.105000000000004</v>
      </c>
      <c r="O19" s="318">
        <f t="shared" si="4"/>
        <v>5.9720647773279358</v>
      </c>
      <c r="P19" s="319">
        <f t="shared" si="5"/>
        <v>3.7247178152819416E-2</v>
      </c>
      <c r="Q19" s="320">
        <v>30.925999999999998</v>
      </c>
      <c r="R19" s="318">
        <f t="shared" si="6"/>
        <v>-0.64083386562917366</v>
      </c>
      <c r="S19" s="321">
        <f t="shared" si="7"/>
        <v>0.65167699209570595</v>
      </c>
      <c r="T19" s="317">
        <v>52.064</v>
      </c>
      <c r="U19" s="318">
        <f t="shared" si="65"/>
        <v>0.6835025544848996</v>
      </c>
      <c r="V19" s="319">
        <f t="shared" si="9"/>
        <v>0.12386133057030602</v>
      </c>
      <c r="W19" s="320">
        <v>14.542999999999999</v>
      </c>
      <c r="X19" s="318">
        <f t="shared" si="66"/>
        <v>-0.72067071296865404</v>
      </c>
      <c r="Y19" s="319">
        <f t="shared" si="11"/>
        <v>0.17757085020242913</v>
      </c>
      <c r="Z19" s="320">
        <v>91.194000000000003</v>
      </c>
      <c r="AA19" s="318">
        <f t="shared" si="67"/>
        <v>5.2706456714570589</v>
      </c>
      <c r="AB19" s="319">
        <f t="shared" si="13"/>
        <v>5.9102258869984325E-2</v>
      </c>
      <c r="AC19" s="320">
        <v>36.561999999999998</v>
      </c>
      <c r="AD19" s="318">
        <f t="shared" si="68"/>
        <v>-0.5990745005153848</v>
      </c>
      <c r="AE19" s="321">
        <f t="shared" si="15"/>
        <v>0.18224147966112647</v>
      </c>
      <c r="AF19" s="317">
        <v>24.027999999999999</v>
      </c>
      <c r="AG19" s="318">
        <f t="shared" si="69"/>
        <v>-0.3428149444778732</v>
      </c>
      <c r="AH19" s="319">
        <f t="shared" si="17"/>
        <v>-0.53849108789182543</v>
      </c>
      <c r="AI19" s="320">
        <v>10.977</v>
      </c>
      <c r="AJ19" s="318">
        <f t="shared" si="70"/>
        <v>-0.54315798235392032</v>
      </c>
      <c r="AK19" s="319">
        <f t="shared" si="19"/>
        <v>-0.24520387815443845</v>
      </c>
      <c r="AL19" s="320">
        <v>98.590999999999994</v>
      </c>
      <c r="AM19" s="318">
        <f t="shared" si="71"/>
        <v>7.9815978864899328</v>
      </c>
      <c r="AN19" s="319">
        <f t="shared" si="21"/>
        <v>8.1112792508278853E-2</v>
      </c>
      <c r="AO19" s="320">
        <v>47.115000000000002</v>
      </c>
      <c r="AP19" s="318">
        <f t="shared" si="82"/>
        <v>-0.52211662322118646</v>
      </c>
      <c r="AQ19" s="321">
        <f t="shared" si="23"/>
        <v>0.2886330069471037</v>
      </c>
      <c r="AR19" s="317">
        <v>56.387999999999998</v>
      </c>
      <c r="AS19" s="318">
        <f t="shared" si="83"/>
        <v>0.19681630054122889</v>
      </c>
      <c r="AT19" s="319">
        <f t="shared" si="25"/>
        <v>1.3467621108706509</v>
      </c>
      <c r="AU19" s="320">
        <v>14.398233999999997</v>
      </c>
      <c r="AV19" s="318">
        <f t="shared" si="72"/>
        <v>-0.74465783500035476</v>
      </c>
      <c r="AW19" s="319">
        <f t="shared" si="27"/>
        <v>0.31167295253712268</v>
      </c>
      <c r="AX19" s="320">
        <v>173.238</v>
      </c>
      <c r="AY19" s="318">
        <f t="shared" si="73"/>
        <v>11.031892244562773</v>
      </c>
      <c r="AZ19" s="319">
        <f t="shared" si="29"/>
        <v>0.75713807548356349</v>
      </c>
      <c r="BA19" s="320">
        <v>130.98468099999999</v>
      </c>
      <c r="BB19" s="318">
        <f t="shared" si="74"/>
        <v>-0.24390329488911211</v>
      </c>
      <c r="BC19" s="321">
        <f t="shared" si="31"/>
        <v>1.7801057200466941</v>
      </c>
      <c r="BD19" s="317">
        <v>120.27807899999999</v>
      </c>
      <c r="BE19" s="318">
        <f t="shared" si="75"/>
        <v>10.663894394879751</v>
      </c>
      <c r="BF19" s="319">
        <f>IFERROR(BD19/#REF!-1,)</f>
        <v>0</v>
      </c>
      <c r="BG19" s="320">
        <v>20.276854</v>
      </c>
      <c r="BH19" s="318">
        <f t="shared" si="76"/>
        <v>-0.83141687854858404</v>
      </c>
      <c r="BI19" s="319">
        <f>IFERROR(BG19/#REF!-1,)</f>
        <v>0</v>
      </c>
      <c r="BJ19" s="320">
        <v>146.90983700000001</v>
      </c>
      <c r="BK19" s="318">
        <f t="shared" si="77"/>
        <v>6.2451987374372777</v>
      </c>
      <c r="BL19" s="319">
        <f t="shared" si="61"/>
        <v>0</v>
      </c>
      <c r="BM19" s="320">
        <v>130.55600000000001</v>
      </c>
      <c r="BN19" s="318">
        <f t="shared" si="78"/>
        <v>-0.11131886968195326</v>
      </c>
      <c r="BO19" s="321">
        <f t="shared" si="62"/>
        <v>11.660589604344455</v>
      </c>
      <c r="BP19" s="317">
        <v>153.55099999999999</v>
      </c>
      <c r="BQ19" s="318">
        <f t="shared" si="35"/>
        <v>0.1761313152976498</v>
      </c>
      <c r="BR19" s="319">
        <f t="shared" si="36"/>
        <v>0.27663329242230406</v>
      </c>
      <c r="BS19" s="320">
        <v>20.03</v>
      </c>
      <c r="BT19" s="318">
        <f t="shared" si="79"/>
        <v>-0.86955474077016759</v>
      </c>
      <c r="BU19" s="319">
        <f t="shared" si="38"/>
        <v>-1.2174176526595248E-2</v>
      </c>
      <c r="BV19" s="320">
        <v>196.536</v>
      </c>
      <c r="BW19" s="318">
        <f t="shared" si="80"/>
        <v>8.8120818771842231</v>
      </c>
      <c r="BX19" s="319">
        <f t="shared" si="40"/>
        <v>0.33780013655586583</v>
      </c>
      <c r="BY19" s="320">
        <v>165.5</v>
      </c>
      <c r="BZ19" s="318">
        <f t="shared" si="81"/>
        <v>-0.15791508934749865</v>
      </c>
      <c r="CA19" s="321">
        <f t="shared" si="42"/>
        <v>0.26765525904592646</v>
      </c>
      <c r="CB19" s="317">
        <v>133</v>
      </c>
      <c r="CC19" s="318">
        <f t="shared" si="43"/>
        <v>-0.1963746223564955</v>
      </c>
      <c r="CD19" s="319">
        <f t="shared" si="44"/>
        <v>-0.13383826871853644</v>
      </c>
      <c r="CE19" s="1045"/>
      <c r="CF19" s="1046"/>
      <c r="CG19" s="1047"/>
      <c r="CH19" s="1045"/>
      <c r="CI19" s="1046"/>
      <c r="CJ19" s="1047"/>
      <c r="CK19" s="1045"/>
      <c r="CL19" s="1046"/>
      <c r="CM19" s="1048"/>
      <c r="CN19" s="1045"/>
      <c r="CO19" s="1046"/>
      <c r="CP19" s="1047"/>
      <c r="CQ19" s="1045"/>
      <c r="CR19" s="1046"/>
      <c r="CS19" s="1047"/>
      <c r="CT19" s="1045"/>
      <c r="CU19" s="1046"/>
      <c r="CV19" s="1047"/>
      <c r="CW19" s="1045"/>
      <c r="CX19" s="1046"/>
      <c r="CY19" s="1048"/>
    </row>
    <row r="20" spans="1:103" ht="16.2" customHeight="1" outlineLevel="1">
      <c r="A20" s="141">
        <f t="shared" si="59"/>
        <v>19</v>
      </c>
      <c r="B20" s="102" t="s">
        <v>67</v>
      </c>
      <c r="C20" s="103" t="s">
        <v>269</v>
      </c>
      <c r="D20" s="476">
        <v>77.096999999999994</v>
      </c>
      <c r="E20" s="477">
        <v>46.302</v>
      </c>
      <c r="F20" s="477">
        <v>38.363999999999997</v>
      </c>
      <c r="G20" s="316">
        <v>34.512999999999998</v>
      </c>
      <c r="H20" s="317">
        <v>3.7589999999999999</v>
      </c>
      <c r="I20" s="318">
        <f t="shared" si="63"/>
        <v>-0.89108451887694495</v>
      </c>
      <c r="J20" s="319">
        <f t="shared" si="1"/>
        <v>-0.9512432390365384</v>
      </c>
      <c r="K20" s="320">
        <v>5.415</v>
      </c>
      <c r="L20" s="318">
        <f t="shared" si="64"/>
        <v>0.44054269752593789</v>
      </c>
      <c r="M20" s="319">
        <f t="shared" si="3"/>
        <v>-0.88305040818971103</v>
      </c>
      <c r="N20" s="320">
        <v>5.0490000000000004</v>
      </c>
      <c r="O20" s="318">
        <f t="shared" si="4"/>
        <v>-6.7590027700831001E-2</v>
      </c>
      <c r="P20" s="319">
        <f t="shared" si="5"/>
        <v>-0.86839224272755711</v>
      </c>
      <c r="Q20" s="320">
        <v>49.064999999999998</v>
      </c>
      <c r="R20" s="318">
        <f t="shared" si="6"/>
        <v>8.7177658942364822</v>
      </c>
      <c r="S20" s="321">
        <f t="shared" si="7"/>
        <v>0.42163822327818501</v>
      </c>
      <c r="T20" s="317">
        <v>5.165</v>
      </c>
      <c r="U20" s="318">
        <f t="shared" si="65"/>
        <v>-0.89473147865076941</v>
      </c>
      <c r="V20" s="319">
        <f t="shared" si="9"/>
        <v>0.3740356477786646</v>
      </c>
      <c r="W20" s="320">
        <v>2.8769999999999998</v>
      </c>
      <c r="X20" s="318">
        <f t="shared" si="66"/>
        <v>-0.44298160696999034</v>
      </c>
      <c r="Y20" s="319">
        <f t="shared" si="11"/>
        <v>-0.46869806094182831</v>
      </c>
      <c r="Z20" s="320">
        <v>1.752</v>
      </c>
      <c r="AA20" s="318">
        <f t="shared" si="67"/>
        <v>-0.39103232533889465</v>
      </c>
      <c r="AB20" s="319">
        <f t="shared" si="13"/>
        <v>-0.6530005941770648</v>
      </c>
      <c r="AC20" s="320">
        <v>1.7130000000000001</v>
      </c>
      <c r="AD20" s="318">
        <f t="shared" si="68"/>
        <v>-2.2260273972602662E-2</v>
      </c>
      <c r="AE20" s="321">
        <f t="shared" si="15"/>
        <v>-0.96508712931825125</v>
      </c>
      <c r="AF20" s="317">
        <v>1.29</v>
      </c>
      <c r="AG20" s="318">
        <f t="shared" si="69"/>
        <v>-0.24693520140105085</v>
      </c>
      <c r="AH20" s="319">
        <f t="shared" si="17"/>
        <v>-0.75024201355275899</v>
      </c>
      <c r="AI20" s="320">
        <v>1.3009999999999999</v>
      </c>
      <c r="AJ20" s="318">
        <f t="shared" si="70"/>
        <v>8.5271317829456184E-3</v>
      </c>
      <c r="AK20" s="319">
        <f t="shared" si="19"/>
        <v>-0.54779283976364268</v>
      </c>
      <c r="AL20" s="320">
        <v>1.3420000000000001</v>
      </c>
      <c r="AM20" s="318">
        <f t="shared" si="71"/>
        <v>3.1514219830899526E-2</v>
      </c>
      <c r="AN20" s="319">
        <f t="shared" si="21"/>
        <v>-0.23401826484018262</v>
      </c>
      <c r="AO20" s="320">
        <v>1.39</v>
      </c>
      <c r="AP20" s="318">
        <f t="shared" si="82"/>
        <v>3.5767511177347E-2</v>
      </c>
      <c r="AQ20" s="321">
        <f t="shared" si="23"/>
        <v>-0.1885580852305897</v>
      </c>
      <c r="AR20" s="317">
        <v>1.4219999999999999</v>
      </c>
      <c r="AS20" s="318">
        <f t="shared" si="83"/>
        <v>2.302158273381294E-2</v>
      </c>
      <c r="AT20" s="319">
        <f t="shared" si="25"/>
        <v>0.10232558139534875</v>
      </c>
      <c r="AU20" s="320">
        <v>1.4285999999999999</v>
      </c>
      <c r="AV20" s="318">
        <f t="shared" si="72"/>
        <v>4.6413502109703408E-3</v>
      </c>
      <c r="AW20" s="319">
        <f t="shared" si="27"/>
        <v>9.8078401229823253E-2</v>
      </c>
      <c r="AX20" s="320">
        <v>1.4658</v>
      </c>
      <c r="AY20" s="318">
        <f t="shared" si="73"/>
        <v>2.6039479210415939E-2</v>
      </c>
      <c r="AZ20" s="319">
        <f t="shared" si="29"/>
        <v>9.2250372578241313E-2</v>
      </c>
      <c r="BA20" s="320">
        <v>1.4307000000000001</v>
      </c>
      <c r="BB20" s="318">
        <f t="shared" si="74"/>
        <v>-2.3945968072042523E-2</v>
      </c>
      <c r="BC20" s="321">
        <f t="shared" si="31"/>
        <v>2.9280575539568421E-2</v>
      </c>
      <c r="BD20" s="317">
        <v>3.39635</v>
      </c>
      <c r="BE20" s="318">
        <f t="shared" si="75"/>
        <v>-0.92664787698155582</v>
      </c>
      <c r="BF20" s="319">
        <f>IFERROR(BD20/#REF!-1,)</f>
        <v>0</v>
      </c>
      <c r="BG20" s="320">
        <v>5.4056499999999996</v>
      </c>
      <c r="BH20" s="318">
        <f t="shared" si="76"/>
        <v>0.59160569434834454</v>
      </c>
      <c r="BI20" s="319">
        <f>IFERROR(BG20/#REF!-1,)</f>
        <v>0</v>
      </c>
      <c r="BJ20" s="320">
        <v>2.7124419999999998</v>
      </c>
      <c r="BK20" s="318">
        <f t="shared" si="77"/>
        <v>-0.49822093550266855</v>
      </c>
      <c r="BL20" s="319">
        <f t="shared" si="61"/>
        <v>0</v>
      </c>
      <c r="BM20" s="320">
        <v>1.0369999999999999</v>
      </c>
      <c r="BN20" s="318">
        <f t="shared" si="78"/>
        <v>-0.61768767774573607</v>
      </c>
      <c r="BO20" s="321">
        <f t="shared" si="62"/>
        <v>-0.97760355924150144</v>
      </c>
      <c r="BP20" s="317">
        <v>3.0880000000000001</v>
      </c>
      <c r="BQ20" s="318">
        <f t="shared" si="35"/>
        <v>1.9778206364513022</v>
      </c>
      <c r="BR20" s="319">
        <f t="shared" si="36"/>
        <v>-9.0788640746683913E-2</v>
      </c>
      <c r="BS20" s="320">
        <v>3.4990000000000001</v>
      </c>
      <c r="BT20" s="318">
        <f t="shared" si="79"/>
        <v>0.13309585492227982</v>
      </c>
      <c r="BU20" s="319">
        <f t="shared" si="38"/>
        <v>-0.35271428967839202</v>
      </c>
      <c r="BV20" s="320">
        <v>5.3369999999999997</v>
      </c>
      <c r="BW20" s="318">
        <f t="shared" si="80"/>
        <v>0.52529294084024003</v>
      </c>
      <c r="BX20" s="319">
        <f t="shared" si="40"/>
        <v>0.96759967586403706</v>
      </c>
      <c r="BY20" s="320">
        <v>21.763000000000002</v>
      </c>
      <c r="BZ20" s="318">
        <f t="shared" si="81"/>
        <v>3.0777590406595472</v>
      </c>
      <c r="CA20" s="321">
        <f t="shared" si="42"/>
        <v>19.986499517839928</v>
      </c>
      <c r="CB20" s="317">
        <v>61</v>
      </c>
      <c r="CC20" s="318">
        <f t="shared" si="43"/>
        <v>1.8029223912144463</v>
      </c>
      <c r="CD20" s="319">
        <f t="shared" si="44"/>
        <v>18.753886010362695</v>
      </c>
      <c r="CE20" s="1045"/>
      <c r="CF20" s="1046"/>
      <c r="CG20" s="1047"/>
      <c r="CH20" s="1045"/>
      <c r="CI20" s="1046"/>
      <c r="CJ20" s="1047"/>
      <c r="CK20" s="1045"/>
      <c r="CL20" s="1046"/>
      <c r="CM20" s="1048"/>
      <c r="CN20" s="1045"/>
      <c r="CO20" s="1046"/>
      <c r="CP20" s="1047"/>
      <c r="CQ20" s="1045"/>
      <c r="CR20" s="1046"/>
      <c r="CS20" s="1047"/>
      <c r="CT20" s="1045"/>
      <c r="CU20" s="1046"/>
      <c r="CV20" s="1047"/>
      <c r="CW20" s="1045"/>
      <c r="CX20" s="1046"/>
      <c r="CY20" s="1048"/>
    </row>
    <row r="21" spans="1:103" ht="16.2" customHeight="1" outlineLevel="1">
      <c r="A21" s="141">
        <f t="shared" si="59"/>
        <v>20</v>
      </c>
      <c r="B21" s="102" t="s">
        <v>152</v>
      </c>
      <c r="C21" s="103" t="s">
        <v>66</v>
      </c>
      <c r="D21" s="476">
        <v>0</v>
      </c>
      <c r="E21" s="477">
        <v>5.9420000000000002</v>
      </c>
      <c r="F21" s="477">
        <v>3.5550000000000002</v>
      </c>
      <c r="G21" s="316">
        <v>4.1150000000000002</v>
      </c>
      <c r="H21" s="317">
        <v>2.6709999999999998</v>
      </c>
      <c r="I21" s="318">
        <f t="shared" si="63"/>
        <v>-0.35091130012150673</v>
      </c>
      <c r="J21" s="319">
        <f t="shared" si="1"/>
        <v>0</v>
      </c>
      <c r="K21" s="320">
        <v>3.1E-2</v>
      </c>
      <c r="L21" s="318">
        <f t="shared" si="64"/>
        <v>-0.98839385997753648</v>
      </c>
      <c r="M21" s="319">
        <f t="shared" si="3"/>
        <v>-0.99478290138000669</v>
      </c>
      <c r="N21" s="320">
        <v>4.49</v>
      </c>
      <c r="O21" s="318">
        <f t="shared" si="4"/>
        <v>143.83870967741936</v>
      </c>
      <c r="P21" s="319">
        <f t="shared" si="5"/>
        <v>0.26300984528832627</v>
      </c>
      <c r="Q21" s="320">
        <v>2.0379999999999998</v>
      </c>
      <c r="R21" s="318">
        <f t="shared" si="6"/>
        <v>-0.54610244988864154</v>
      </c>
      <c r="S21" s="321">
        <f t="shared" si="7"/>
        <v>-0.50473876063183476</v>
      </c>
      <c r="T21" s="317">
        <v>0.155</v>
      </c>
      <c r="U21" s="318">
        <f t="shared" si="65"/>
        <v>-0.92394504416094214</v>
      </c>
      <c r="V21" s="319">
        <f t="shared" si="9"/>
        <v>-0.94196929988768252</v>
      </c>
      <c r="W21" s="320">
        <v>3.6629999999999998</v>
      </c>
      <c r="X21" s="318">
        <f t="shared" si="66"/>
        <v>22.63225806451613</v>
      </c>
      <c r="Y21" s="319">
        <f t="shared" si="11"/>
        <v>117.16129032258064</v>
      </c>
      <c r="Z21" s="320">
        <v>3.2269999999999999</v>
      </c>
      <c r="AA21" s="318">
        <f t="shared" si="67"/>
        <v>-0.11902811902811905</v>
      </c>
      <c r="AB21" s="319">
        <f t="shared" si="13"/>
        <v>-0.28129175946547891</v>
      </c>
      <c r="AC21" s="320">
        <v>1.6679999999999999</v>
      </c>
      <c r="AD21" s="318">
        <f t="shared" si="68"/>
        <v>-0.48311124883793</v>
      </c>
      <c r="AE21" s="321">
        <f t="shared" si="15"/>
        <v>-0.18155053974484781</v>
      </c>
      <c r="AF21" s="317">
        <v>35.46</v>
      </c>
      <c r="AG21" s="318">
        <f t="shared" si="69"/>
        <v>20.258992805755398</v>
      </c>
      <c r="AH21" s="319">
        <f t="shared" si="17"/>
        <v>227.7741935483871</v>
      </c>
      <c r="AI21" s="320">
        <v>1.036</v>
      </c>
      <c r="AJ21" s="318">
        <f t="shared" si="70"/>
        <v>-0.97078398195149462</v>
      </c>
      <c r="AK21" s="319">
        <f t="shared" si="19"/>
        <v>-0.71717171717171713</v>
      </c>
      <c r="AL21" s="320">
        <v>1.091</v>
      </c>
      <c r="AM21" s="318">
        <f t="shared" si="71"/>
        <v>5.3088803088803038E-2</v>
      </c>
      <c r="AN21" s="319">
        <f t="shared" si="21"/>
        <v>-0.66191509141617599</v>
      </c>
      <c r="AO21" s="320">
        <v>2.2240000000000002</v>
      </c>
      <c r="AP21" s="318">
        <f t="shared" si="82"/>
        <v>1.0384967919340058</v>
      </c>
      <c r="AQ21" s="321">
        <f t="shared" si="23"/>
        <v>0.33333333333333348</v>
      </c>
      <c r="AR21" s="317">
        <v>4.8040000000000003</v>
      </c>
      <c r="AS21" s="318">
        <f t="shared" si="83"/>
        <v>1.1600719424460433</v>
      </c>
      <c r="AT21" s="319">
        <f t="shared" si="25"/>
        <v>-0.86452340665538641</v>
      </c>
      <c r="AU21" s="320">
        <v>4.5720740000000006</v>
      </c>
      <c r="AV21" s="318">
        <f t="shared" si="72"/>
        <v>-4.8277685262281378E-2</v>
      </c>
      <c r="AW21" s="319">
        <f t="shared" si="27"/>
        <v>3.4131988416988426</v>
      </c>
      <c r="AX21" s="320">
        <v>0.40500000000000003</v>
      </c>
      <c r="AY21" s="318">
        <f t="shared" si="73"/>
        <v>-0.9114187565643076</v>
      </c>
      <c r="AZ21" s="319">
        <f t="shared" si="29"/>
        <v>-0.62878093492208986</v>
      </c>
      <c r="BA21" s="320">
        <v>59.746849000000005</v>
      </c>
      <c r="BB21" s="318">
        <f t="shared" si="74"/>
        <v>146.52308395061729</v>
      </c>
      <c r="BC21" s="321">
        <f t="shared" si="31"/>
        <v>25.864590377697841</v>
      </c>
      <c r="BD21" s="317">
        <v>18.807259999999999</v>
      </c>
      <c r="BE21" s="318">
        <f t="shared" si="75"/>
        <v>2.1651396836082126</v>
      </c>
      <c r="BF21" s="319">
        <f>IFERROR(BD21/#REF!-1,)</f>
        <v>0</v>
      </c>
      <c r="BG21" s="320">
        <v>17.956078000000002</v>
      </c>
      <c r="BH21" s="318">
        <f t="shared" si="76"/>
        <v>-4.5258160944230963E-2</v>
      </c>
      <c r="BI21" s="319">
        <f>IFERROR(BG21/#REF!-1,)</f>
        <v>0</v>
      </c>
      <c r="BJ21" s="320">
        <v>11.445129000000001</v>
      </c>
      <c r="BK21" s="318">
        <f t="shared" si="77"/>
        <v>-0.36260418338570366</v>
      </c>
      <c r="BL21" s="319">
        <f t="shared" si="61"/>
        <v>0</v>
      </c>
      <c r="BM21" s="320">
        <v>4.6790000000000003</v>
      </c>
      <c r="BN21" s="318">
        <f t="shared" si="78"/>
        <v>-0.59117979360477291</v>
      </c>
      <c r="BO21" s="321">
        <f t="shared" si="62"/>
        <v>-0.21255469538875793</v>
      </c>
      <c r="BP21" s="317">
        <v>4.37</v>
      </c>
      <c r="BQ21" s="318">
        <f t="shared" si="35"/>
        <v>-6.6039752083778658E-2</v>
      </c>
      <c r="BR21" s="319">
        <f t="shared" si="36"/>
        <v>-0.76764292087204622</v>
      </c>
      <c r="BS21" s="320">
        <v>2.863</v>
      </c>
      <c r="BT21" s="318">
        <f t="shared" si="79"/>
        <v>-0.34485125858123566</v>
      </c>
      <c r="BU21" s="319">
        <f t="shared" si="38"/>
        <v>-0.84055538186011447</v>
      </c>
      <c r="BV21" s="320">
        <v>23.274000000000001</v>
      </c>
      <c r="BW21" s="318">
        <f t="shared" si="80"/>
        <v>7.1292350681103738</v>
      </c>
      <c r="BX21" s="319">
        <f t="shared" si="40"/>
        <v>1.0335288488229359</v>
      </c>
      <c r="BY21" s="320">
        <v>59.780999999999999</v>
      </c>
      <c r="BZ21" s="318">
        <f t="shared" si="81"/>
        <v>1.5685743748388759</v>
      </c>
      <c r="CA21" s="321">
        <f t="shared" si="42"/>
        <v>11.776447958965591</v>
      </c>
      <c r="CB21" s="317">
        <v>0</v>
      </c>
      <c r="CC21" s="318">
        <f t="shared" si="43"/>
        <v>-1</v>
      </c>
      <c r="CD21" s="319">
        <f t="shared" si="44"/>
        <v>-1</v>
      </c>
      <c r="CE21" s="1045"/>
      <c r="CF21" s="1046"/>
      <c r="CG21" s="1047"/>
      <c r="CH21" s="1045"/>
      <c r="CI21" s="1046"/>
      <c r="CJ21" s="1047"/>
      <c r="CK21" s="1045"/>
      <c r="CL21" s="1046"/>
      <c r="CM21" s="1048"/>
      <c r="CN21" s="1045"/>
      <c r="CO21" s="1046"/>
      <c r="CP21" s="1047"/>
      <c r="CQ21" s="1045"/>
      <c r="CR21" s="1046"/>
      <c r="CS21" s="1047"/>
      <c r="CT21" s="1045"/>
      <c r="CU21" s="1046"/>
      <c r="CV21" s="1047"/>
      <c r="CW21" s="1045"/>
      <c r="CX21" s="1046"/>
      <c r="CY21" s="1048"/>
    </row>
    <row r="22" spans="1:103" ht="16.2" customHeight="1" outlineLevel="1">
      <c r="A22" s="141">
        <f t="shared" si="59"/>
        <v>21</v>
      </c>
      <c r="B22" s="102" t="s">
        <v>153</v>
      </c>
      <c r="C22" s="103" t="s">
        <v>270</v>
      </c>
      <c r="D22" s="476">
        <v>2.9729999999999999</v>
      </c>
      <c r="E22" s="477">
        <v>13.494999999999999</v>
      </c>
      <c r="F22" s="477">
        <v>3.927</v>
      </c>
      <c r="G22" s="316">
        <v>18.056000000000001</v>
      </c>
      <c r="H22" s="317">
        <v>4.6740000000000004</v>
      </c>
      <c r="I22" s="318">
        <f t="shared" si="63"/>
        <v>-0.74113867966326974</v>
      </c>
      <c r="J22" s="319">
        <f t="shared" si="1"/>
        <v>0.57214934409687213</v>
      </c>
      <c r="K22" s="320">
        <v>15.712</v>
      </c>
      <c r="L22" s="318">
        <f t="shared" si="64"/>
        <v>2.3615746683782626</v>
      </c>
      <c r="M22" s="319">
        <f t="shared" si="3"/>
        <v>0.16428306780288993</v>
      </c>
      <c r="N22" s="320">
        <v>10.47</v>
      </c>
      <c r="O22" s="318">
        <f t="shared" si="4"/>
        <v>-0.33363034623217913</v>
      </c>
      <c r="P22" s="319">
        <f t="shared" si="5"/>
        <v>1.6661573720397249</v>
      </c>
      <c r="Q22" s="320">
        <v>10.291</v>
      </c>
      <c r="R22" s="318">
        <f t="shared" si="6"/>
        <v>-1.7096466093600826E-2</v>
      </c>
      <c r="S22" s="321">
        <f t="shared" si="7"/>
        <v>-0.43005095259193615</v>
      </c>
      <c r="T22" s="317">
        <v>15.972</v>
      </c>
      <c r="U22" s="318">
        <f t="shared" si="65"/>
        <v>0.55203575940141869</v>
      </c>
      <c r="V22" s="319">
        <f t="shared" si="9"/>
        <v>2.4172015404364564</v>
      </c>
      <c r="W22" s="320">
        <v>1.6160000000000001</v>
      </c>
      <c r="X22" s="318">
        <f t="shared" si="66"/>
        <v>-0.89882294014525421</v>
      </c>
      <c r="Y22" s="319">
        <f t="shared" si="11"/>
        <v>-0.89714867617107941</v>
      </c>
      <c r="Z22" s="320">
        <v>6.3250000000000002</v>
      </c>
      <c r="AA22" s="318">
        <f t="shared" si="67"/>
        <v>2.9139851485148514</v>
      </c>
      <c r="AB22" s="319">
        <f t="shared" si="13"/>
        <v>-0.39589302769818535</v>
      </c>
      <c r="AC22" s="320">
        <v>3.6269999999999998</v>
      </c>
      <c r="AD22" s="318">
        <f t="shared" si="68"/>
        <v>-0.42656126482213441</v>
      </c>
      <c r="AE22" s="321">
        <f t="shared" si="15"/>
        <v>-0.64755611699543292</v>
      </c>
      <c r="AF22" s="317">
        <v>4.2809999999999997</v>
      </c>
      <c r="AG22" s="318">
        <f t="shared" si="69"/>
        <v>0.18031430934656734</v>
      </c>
      <c r="AH22" s="319">
        <f t="shared" si="17"/>
        <v>-0.73196844477836209</v>
      </c>
      <c r="AI22" s="320">
        <v>4.5449999999999999</v>
      </c>
      <c r="AJ22" s="318">
        <f t="shared" si="70"/>
        <v>6.1667834618079898E-2</v>
      </c>
      <c r="AK22" s="319">
        <f t="shared" si="19"/>
        <v>1.8124999999999996</v>
      </c>
      <c r="AL22" s="320">
        <v>12.340999999999999</v>
      </c>
      <c r="AM22" s="318">
        <f t="shared" si="71"/>
        <v>1.7152915291529154</v>
      </c>
      <c r="AN22" s="319">
        <f t="shared" si="21"/>
        <v>0.95114624505928846</v>
      </c>
      <c r="AO22" s="320">
        <v>12.584</v>
      </c>
      <c r="AP22" s="318">
        <f t="shared" si="82"/>
        <v>1.969046268535779E-2</v>
      </c>
      <c r="AQ22" s="321">
        <f t="shared" si="23"/>
        <v>2.4695340501792118</v>
      </c>
      <c r="AR22" s="317">
        <v>9.6389999999999993</v>
      </c>
      <c r="AS22" s="318">
        <f t="shared" si="83"/>
        <v>-0.23402733630006356</v>
      </c>
      <c r="AT22" s="319">
        <f t="shared" si="25"/>
        <v>1.2515767344078488</v>
      </c>
      <c r="AU22" s="320">
        <v>16.886823</v>
      </c>
      <c r="AV22" s="318">
        <f t="shared" si="72"/>
        <v>0.75192685963274197</v>
      </c>
      <c r="AW22" s="319">
        <f t="shared" si="27"/>
        <v>2.7154726072607263</v>
      </c>
      <c r="AX22" s="320">
        <v>20.170973</v>
      </c>
      <c r="AY22" s="318">
        <f t="shared" si="73"/>
        <v>0.19448003925901292</v>
      </c>
      <c r="AZ22" s="319">
        <f t="shared" si="29"/>
        <v>0.63446827647678483</v>
      </c>
      <c r="BA22" s="320">
        <v>44.28228</v>
      </c>
      <c r="BB22" s="318">
        <f t="shared" si="74"/>
        <v>1.1953467490140413</v>
      </c>
      <c r="BC22" s="321">
        <f t="shared" si="31"/>
        <v>2.5189351557533377</v>
      </c>
      <c r="BD22" s="317">
        <v>19.556207999999998</v>
      </c>
      <c r="BE22" s="318">
        <f t="shared" si="75"/>
        <v>0.44914472026676533</v>
      </c>
      <c r="BF22" s="319">
        <f>IFERROR(BD22/#REF!-1,)</f>
        <v>0</v>
      </c>
      <c r="BG22" s="320">
        <v>13.572042</v>
      </c>
      <c r="BH22" s="318">
        <f t="shared" si="76"/>
        <v>-0.30599827942104108</v>
      </c>
      <c r="BI22" s="319">
        <f>IFERROR(BG22/#REF!-1,)</f>
        <v>0</v>
      </c>
      <c r="BJ22" s="320">
        <v>15.336373999999999</v>
      </c>
      <c r="BK22" s="318">
        <f t="shared" si="77"/>
        <v>0.12999753463775021</v>
      </c>
      <c r="BL22" s="319">
        <f t="shared" si="61"/>
        <v>0</v>
      </c>
      <c r="BM22" s="320">
        <v>19.056000000000001</v>
      </c>
      <c r="BN22" s="318">
        <f t="shared" si="78"/>
        <v>0.24253620836320255</v>
      </c>
      <c r="BO22" s="321">
        <f t="shared" si="62"/>
        <v>0.41207854761022622</v>
      </c>
      <c r="BP22" s="317">
        <v>17.312000000000001</v>
      </c>
      <c r="BQ22" s="318">
        <f t="shared" si="35"/>
        <v>-9.1519731318219999E-2</v>
      </c>
      <c r="BR22" s="319">
        <f t="shared" si="36"/>
        <v>-0.11475680765923524</v>
      </c>
      <c r="BS22" s="320">
        <v>16.167999999999999</v>
      </c>
      <c r="BT22" s="318">
        <f t="shared" si="79"/>
        <v>-6.6081330868761667E-2</v>
      </c>
      <c r="BU22" s="319">
        <f t="shared" si="38"/>
        <v>0.19127247027381733</v>
      </c>
      <c r="BV22" s="320">
        <v>16.893000000000001</v>
      </c>
      <c r="BW22" s="318">
        <f t="shared" si="80"/>
        <v>4.4841662543295469E-2</v>
      </c>
      <c r="BX22" s="319">
        <f t="shared" si="40"/>
        <v>0.10149895927159847</v>
      </c>
      <c r="BY22" s="320">
        <v>22.998999999999999</v>
      </c>
      <c r="BZ22" s="318">
        <f t="shared" si="81"/>
        <v>0.36145148878233568</v>
      </c>
      <c r="CA22" s="321">
        <f t="shared" si="42"/>
        <v>0.20691645675902581</v>
      </c>
      <c r="CB22" s="317">
        <v>22</v>
      </c>
      <c r="CC22" s="318">
        <f t="shared" si="43"/>
        <v>-4.3436671159615581E-2</v>
      </c>
      <c r="CD22" s="319">
        <f t="shared" si="44"/>
        <v>0.27079482439926061</v>
      </c>
      <c r="CE22" s="1045"/>
      <c r="CF22" s="1046"/>
      <c r="CG22" s="1047"/>
      <c r="CH22" s="1045"/>
      <c r="CI22" s="1046"/>
      <c r="CJ22" s="1047"/>
      <c r="CK22" s="1045"/>
      <c r="CL22" s="1046"/>
      <c r="CM22" s="1048"/>
      <c r="CN22" s="1045"/>
      <c r="CO22" s="1046"/>
      <c r="CP22" s="1047"/>
      <c r="CQ22" s="1045"/>
      <c r="CR22" s="1046"/>
      <c r="CS22" s="1047"/>
      <c r="CT22" s="1045"/>
      <c r="CU22" s="1046"/>
      <c r="CV22" s="1047"/>
      <c r="CW22" s="1045"/>
      <c r="CX22" s="1046"/>
      <c r="CY22" s="1048"/>
    </row>
    <row r="23" spans="1:103" ht="16.2" customHeight="1" outlineLevel="1">
      <c r="A23" s="141">
        <f t="shared" si="59"/>
        <v>22</v>
      </c>
      <c r="B23" s="102" t="s">
        <v>154</v>
      </c>
      <c r="C23" s="103" t="s">
        <v>170</v>
      </c>
      <c r="D23" s="476">
        <v>11.45</v>
      </c>
      <c r="E23" s="477">
        <v>11.039</v>
      </c>
      <c r="F23" s="477">
        <v>12.223000000000001</v>
      </c>
      <c r="G23" s="316">
        <v>23.405000000000001</v>
      </c>
      <c r="H23" s="317">
        <v>23.681000000000001</v>
      </c>
      <c r="I23" s="318">
        <f t="shared" si="63"/>
        <v>1.1792352061525291E-2</v>
      </c>
      <c r="J23" s="319">
        <f t="shared" si="1"/>
        <v>1.0682096069868998</v>
      </c>
      <c r="K23" s="320">
        <v>27.725999999999999</v>
      </c>
      <c r="L23" s="318">
        <f t="shared" si="64"/>
        <v>0.17081204341032885</v>
      </c>
      <c r="M23" s="319">
        <f t="shared" si="3"/>
        <v>1.5116405471510101</v>
      </c>
      <c r="N23" s="320">
        <v>31.556000000000001</v>
      </c>
      <c r="O23" s="318">
        <f t="shared" si="4"/>
        <v>0.13813748827815053</v>
      </c>
      <c r="P23" s="319">
        <f t="shared" si="5"/>
        <v>1.5816902560746136</v>
      </c>
      <c r="Q23" s="320">
        <v>36.317</v>
      </c>
      <c r="R23" s="318">
        <f t="shared" si="6"/>
        <v>0.1508746355685131</v>
      </c>
      <c r="S23" s="321">
        <f t="shared" si="7"/>
        <v>0.55167699209570609</v>
      </c>
      <c r="T23" s="317">
        <v>32.064</v>
      </c>
      <c r="U23" s="318">
        <f t="shared" si="65"/>
        <v>-0.11710769061321147</v>
      </c>
      <c r="V23" s="319">
        <f t="shared" si="9"/>
        <v>0.35399687513196221</v>
      </c>
      <c r="W23" s="320">
        <v>31.19</v>
      </c>
      <c r="X23" s="318">
        <f t="shared" si="66"/>
        <v>-2.7257984031936133E-2</v>
      </c>
      <c r="Y23" s="319">
        <f t="shared" si="11"/>
        <v>0.12493688234869804</v>
      </c>
      <c r="Z23" s="320">
        <v>32.534999999999997</v>
      </c>
      <c r="AA23" s="318">
        <f t="shared" si="67"/>
        <v>4.3122795767874145E-2</v>
      </c>
      <c r="AB23" s="319">
        <f t="shared" si="13"/>
        <v>3.1024210926606566E-2</v>
      </c>
      <c r="AC23" s="320">
        <v>28.44</v>
      </c>
      <c r="AD23" s="318">
        <f t="shared" si="68"/>
        <v>-0.12586445366528343</v>
      </c>
      <c r="AE23" s="321">
        <f t="shared" si="15"/>
        <v>-0.21689566869510146</v>
      </c>
      <c r="AF23" s="317">
        <v>34.915999999999997</v>
      </c>
      <c r="AG23" s="318">
        <f t="shared" si="69"/>
        <v>0.2277074542897326</v>
      </c>
      <c r="AH23" s="319">
        <f t="shared" si="17"/>
        <v>8.894710578842302E-2</v>
      </c>
      <c r="AI23" s="320">
        <v>42.008000000000003</v>
      </c>
      <c r="AJ23" s="318">
        <f t="shared" si="70"/>
        <v>0.2031160499484479</v>
      </c>
      <c r="AK23" s="319">
        <f t="shared" si="19"/>
        <v>0.34684193651811479</v>
      </c>
      <c r="AL23" s="320">
        <v>44.383000000000003</v>
      </c>
      <c r="AM23" s="318">
        <f t="shared" si="71"/>
        <v>5.6536850123785953E-2</v>
      </c>
      <c r="AN23" s="319">
        <f t="shared" si="21"/>
        <v>0.36416167204548966</v>
      </c>
      <c r="AO23" s="320">
        <v>41.268999999999998</v>
      </c>
      <c r="AP23" s="318">
        <f t="shared" si="82"/>
        <v>-7.0161998963567229E-2</v>
      </c>
      <c r="AQ23" s="321">
        <f t="shared" si="23"/>
        <v>0.4510900140646974</v>
      </c>
      <c r="AR23" s="317">
        <v>44.570999999999998</v>
      </c>
      <c r="AS23" s="318">
        <f t="shared" si="83"/>
        <v>8.0011631006324357E-2</v>
      </c>
      <c r="AT23" s="319">
        <f t="shared" si="25"/>
        <v>0.27652079275976638</v>
      </c>
      <c r="AU23" s="320">
        <v>53.847982000000002</v>
      </c>
      <c r="AV23" s="318">
        <f t="shared" si="72"/>
        <v>0.20813941800722446</v>
      </c>
      <c r="AW23" s="319">
        <f t="shared" si="27"/>
        <v>0.28185064749571498</v>
      </c>
      <c r="AX23" s="320">
        <v>44.451177000000001</v>
      </c>
      <c r="AY23" s="318">
        <f t="shared" si="73"/>
        <v>-0.17450616812344055</v>
      </c>
      <c r="AZ23" s="319">
        <f t="shared" si="29"/>
        <v>1.5361061667755749E-3</v>
      </c>
      <c r="BA23" s="320">
        <v>51.430019000000001</v>
      </c>
      <c r="BB23" s="318">
        <f t="shared" si="74"/>
        <v>0.15700016222292601</v>
      </c>
      <c r="BC23" s="321">
        <f t="shared" si="31"/>
        <v>0.24621432552278955</v>
      </c>
      <c r="BD23" s="317">
        <v>44.444368000000004</v>
      </c>
      <c r="BE23" s="318">
        <f t="shared" si="75"/>
        <v>3.0261226560376855</v>
      </c>
      <c r="BF23" s="319">
        <f>IFERROR(BD23/#REF!-1,)</f>
        <v>0</v>
      </c>
      <c r="BG23" s="320">
        <v>50.819050000000004</v>
      </c>
      <c r="BH23" s="318">
        <f t="shared" si="76"/>
        <v>0.14343059170061778</v>
      </c>
      <c r="BI23" s="319">
        <f>IFERROR(BG23/#REF!-1,)</f>
        <v>0</v>
      </c>
      <c r="BJ23" s="320">
        <v>53.849182999999996</v>
      </c>
      <c r="BK23" s="318">
        <f t="shared" si="77"/>
        <v>5.9625927678695234E-2</v>
      </c>
      <c r="BL23" s="319">
        <f t="shared" si="61"/>
        <v>0</v>
      </c>
      <c r="BM23" s="320">
        <v>56.368000000000002</v>
      </c>
      <c r="BN23" s="318">
        <f t="shared" si="78"/>
        <v>4.6775398616540009E-2</v>
      </c>
      <c r="BO23" s="321">
        <f t="shared" si="62"/>
        <v>4.1062596249660297</v>
      </c>
      <c r="BP23" s="317">
        <v>55.029000000000003</v>
      </c>
      <c r="BQ23" s="318">
        <f t="shared" si="35"/>
        <v>-2.3754612546125431E-2</v>
      </c>
      <c r="BR23" s="319">
        <f t="shared" si="36"/>
        <v>0.2381546296259629</v>
      </c>
      <c r="BS23" s="320">
        <v>64.144000000000005</v>
      </c>
      <c r="BT23" s="318">
        <f t="shared" si="79"/>
        <v>0.16563993530683829</v>
      </c>
      <c r="BU23" s="319">
        <f t="shared" si="38"/>
        <v>0.26220383891473764</v>
      </c>
      <c r="BV23" s="320">
        <v>58.103000000000002</v>
      </c>
      <c r="BW23" s="318">
        <f t="shared" si="80"/>
        <v>-9.4178722873534571E-2</v>
      </c>
      <c r="BX23" s="319">
        <f t="shared" si="40"/>
        <v>7.8995014650454554E-2</v>
      </c>
      <c r="BY23" s="320">
        <v>78.84</v>
      </c>
      <c r="BZ23" s="318">
        <f t="shared" si="81"/>
        <v>0.35690067638504042</v>
      </c>
      <c r="CA23" s="321">
        <f t="shared" si="42"/>
        <v>0.39866590973602034</v>
      </c>
      <c r="CB23" s="317">
        <v>81</v>
      </c>
      <c r="CC23" s="318">
        <f t="shared" si="43"/>
        <v>2.739726027397249E-2</v>
      </c>
      <c r="CD23" s="319">
        <f t="shared" si="44"/>
        <v>0.47195115302840307</v>
      </c>
      <c r="CE23" s="1045"/>
      <c r="CF23" s="1046"/>
      <c r="CG23" s="1047"/>
      <c r="CH23" s="1045"/>
      <c r="CI23" s="1046"/>
      <c r="CJ23" s="1047"/>
      <c r="CK23" s="1045"/>
      <c r="CL23" s="1046"/>
      <c r="CM23" s="1048"/>
      <c r="CN23" s="1045"/>
      <c r="CO23" s="1046"/>
      <c r="CP23" s="1047"/>
      <c r="CQ23" s="1045"/>
      <c r="CR23" s="1046"/>
      <c r="CS23" s="1047"/>
      <c r="CT23" s="1045"/>
      <c r="CU23" s="1046"/>
      <c r="CV23" s="1047"/>
      <c r="CW23" s="1045"/>
      <c r="CX23" s="1046"/>
      <c r="CY23" s="1048"/>
    </row>
    <row r="24" spans="1:103" ht="16.2" customHeight="1" outlineLevel="1">
      <c r="A24" s="141">
        <f t="shared" si="59"/>
        <v>23</v>
      </c>
      <c r="B24" s="102" t="s">
        <v>155</v>
      </c>
      <c r="C24" s="103" t="s">
        <v>271</v>
      </c>
      <c r="D24" s="476">
        <v>66.174000000000007</v>
      </c>
      <c r="E24" s="477">
        <v>119.179</v>
      </c>
      <c r="F24" s="477">
        <v>44.978000000000002</v>
      </c>
      <c r="G24" s="316">
        <v>95.731999999999999</v>
      </c>
      <c r="H24" s="317">
        <v>71.778000000000006</v>
      </c>
      <c r="I24" s="318">
        <f t="shared" si="63"/>
        <v>-0.25021936238666265</v>
      </c>
      <c r="J24" s="319">
        <f t="shared" si="1"/>
        <v>8.4685828270922192E-2</v>
      </c>
      <c r="K24" s="320">
        <v>96.736000000000004</v>
      </c>
      <c r="L24" s="318">
        <f t="shared" si="64"/>
        <v>0.34771099779876846</v>
      </c>
      <c r="M24" s="319">
        <f t="shared" si="3"/>
        <v>-0.18831337735674902</v>
      </c>
      <c r="N24" s="320">
        <v>75.55</v>
      </c>
      <c r="O24" s="318">
        <f t="shared" si="4"/>
        <v>-0.21900843532914327</v>
      </c>
      <c r="P24" s="319">
        <f t="shared" si="5"/>
        <v>0.67971008048379189</v>
      </c>
      <c r="Q24" s="320">
        <v>62.411000000000001</v>
      </c>
      <c r="R24" s="318">
        <f t="shared" si="6"/>
        <v>-0.17391131700860352</v>
      </c>
      <c r="S24" s="321">
        <f t="shared" si="7"/>
        <v>-0.34806543266619305</v>
      </c>
      <c r="T24" s="317">
        <v>51.901000000000003</v>
      </c>
      <c r="U24" s="318">
        <f t="shared" si="65"/>
        <v>-0.16839980131707544</v>
      </c>
      <c r="V24" s="319">
        <f t="shared" si="9"/>
        <v>-0.27692329125916015</v>
      </c>
      <c r="W24" s="320">
        <v>58.579000000000001</v>
      </c>
      <c r="X24" s="318">
        <f t="shared" si="66"/>
        <v>0.12866804107820662</v>
      </c>
      <c r="Y24" s="319">
        <f t="shared" si="11"/>
        <v>-0.39444467416473705</v>
      </c>
      <c r="Z24" s="320">
        <v>32.140999999999998</v>
      </c>
      <c r="AA24" s="318">
        <f t="shared" si="67"/>
        <v>-0.45132214616159383</v>
      </c>
      <c r="AB24" s="319">
        <f t="shared" si="13"/>
        <v>-0.57457313037723368</v>
      </c>
      <c r="AC24" s="320">
        <v>36.832999999999998</v>
      </c>
      <c r="AD24" s="318">
        <f t="shared" si="68"/>
        <v>0.1459817678354749</v>
      </c>
      <c r="AE24" s="321">
        <f t="shared" si="15"/>
        <v>-0.40983160019868292</v>
      </c>
      <c r="AF24" s="317">
        <v>28.547000000000001</v>
      </c>
      <c r="AG24" s="318">
        <f t="shared" si="69"/>
        <v>-0.22496131186707569</v>
      </c>
      <c r="AH24" s="319">
        <f t="shared" si="17"/>
        <v>-0.44997206219533348</v>
      </c>
      <c r="AI24" s="320">
        <v>25.672000000000001</v>
      </c>
      <c r="AJ24" s="318">
        <f t="shared" si="70"/>
        <v>-0.10071110799733773</v>
      </c>
      <c r="AK24" s="319">
        <f t="shared" si="19"/>
        <v>-0.56175421226036626</v>
      </c>
      <c r="AL24" s="320">
        <v>24.802</v>
      </c>
      <c r="AM24" s="318">
        <f t="shared" si="71"/>
        <v>-3.3889062013088278E-2</v>
      </c>
      <c r="AN24" s="319">
        <f t="shared" si="21"/>
        <v>-0.22833763728570977</v>
      </c>
      <c r="AO24" s="320">
        <v>42.581000000000003</v>
      </c>
      <c r="AP24" s="318">
        <f t="shared" si="82"/>
        <v>0.71683735182646569</v>
      </c>
      <c r="AQ24" s="321">
        <f t="shared" si="23"/>
        <v>0.15605571091141113</v>
      </c>
      <c r="AR24" s="317">
        <v>73.370999999999995</v>
      </c>
      <c r="AS24" s="318">
        <f t="shared" si="83"/>
        <v>0.72309245907799236</v>
      </c>
      <c r="AT24" s="319">
        <f t="shared" si="25"/>
        <v>1.5701825060426664</v>
      </c>
      <c r="AU24" s="320">
        <v>91.08530300000001</v>
      </c>
      <c r="AV24" s="318">
        <f t="shared" si="72"/>
        <v>0.24143466764798105</v>
      </c>
      <c r="AW24" s="319">
        <f t="shared" si="27"/>
        <v>2.5480407837332506</v>
      </c>
      <c r="AX24" s="320">
        <v>80.111604999999997</v>
      </c>
      <c r="AY24" s="318">
        <f t="shared" si="73"/>
        <v>-0.12047715315828733</v>
      </c>
      <c r="AZ24" s="319">
        <f t="shared" si="29"/>
        <v>2.230046165631804</v>
      </c>
      <c r="BA24" s="320">
        <v>153.96194699999998</v>
      </c>
      <c r="BB24" s="318">
        <f t="shared" si="74"/>
        <v>0.92184324605654799</v>
      </c>
      <c r="BC24" s="321">
        <f t="shared" si="31"/>
        <v>2.6157428665367175</v>
      </c>
      <c r="BD24" s="317">
        <v>131.20969699999998</v>
      </c>
      <c r="BE24" s="318">
        <f t="shared" si="75"/>
        <v>0.10094645029745153</v>
      </c>
      <c r="BF24" s="319">
        <f>IFERROR(BD24/#REF!-1,)</f>
        <v>0</v>
      </c>
      <c r="BG24" s="320">
        <v>131.01561100000001</v>
      </c>
      <c r="BH24" s="318">
        <f t="shared" si="76"/>
        <v>-1.4792046962807115E-3</v>
      </c>
      <c r="BI24" s="319">
        <f>IFERROR(BG24/#REF!-1,)</f>
        <v>0</v>
      </c>
      <c r="BJ24" s="320">
        <v>79.050153000000009</v>
      </c>
      <c r="BK24" s="318">
        <f t="shared" si="77"/>
        <v>-0.3966356192469308</v>
      </c>
      <c r="BL24" s="319">
        <f t="shared" si="61"/>
        <v>0</v>
      </c>
      <c r="BM24" s="320">
        <v>66.116</v>
      </c>
      <c r="BN24" s="318">
        <f t="shared" si="78"/>
        <v>-0.16361958211516692</v>
      </c>
      <c r="BO24" s="321">
        <f t="shared" si="62"/>
        <v>-0.44523783552471496</v>
      </c>
      <c r="BP24" s="317">
        <v>74.62</v>
      </c>
      <c r="BQ24" s="318">
        <f t="shared" si="35"/>
        <v>0.12862242119910472</v>
      </c>
      <c r="BR24" s="319">
        <f t="shared" si="36"/>
        <v>-0.43129203324050036</v>
      </c>
      <c r="BS24" s="320">
        <v>77.12</v>
      </c>
      <c r="BT24" s="318">
        <f t="shared" si="79"/>
        <v>3.3503082283570018E-2</v>
      </c>
      <c r="BU24" s="319">
        <f t="shared" si="38"/>
        <v>-0.41136785600305292</v>
      </c>
      <c r="BV24" s="320">
        <v>111.517</v>
      </c>
      <c r="BW24" s="318">
        <f t="shared" si="80"/>
        <v>0.4460191908713691</v>
      </c>
      <c r="BX24" s="319">
        <f t="shared" si="40"/>
        <v>0.41071200709756983</v>
      </c>
      <c r="BY24" s="320">
        <v>143.761</v>
      </c>
      <c r="BZ24" s="318">
        <f t="shared" si="81"/>
        <v>0.28913977241138134</v>
      </c>
      <c r="CA24" s="321">
        <f t="shared" si="42"/>
        <v>1.1743753403109687</v>
      </c>
      <c r="CB24" s="317">
        <v>80</v>
      </c>
      <c r="CC24" s="318">
        <f t="shared" si="43"/>
        <v>-0.44352084362240107</v>
      </c>
      <c r="CD24" s="319">
        <f t="shared" si="44"/>
        <v>7.2098633074242802E-2</v>
      </c>
      <c r="CE24" s="1045"/>
      <c r="CF24" s="1046"/>
      <c r="CG24" s="1047"/>
      <c r="CH24" s="1045"/>
      <c r="CI24" s="1046"/>
      <c r="CJ24" s="1047"/>
      <c r="CK24" s="1045"/>
      <c r="CL24" s="1046"/>
      <c r="CM24" s="1048"/>
      <c r="CN24" s="1045"/>
      <c r="CO24" s="1046"/>
      <c r="CP24" s="1047"/>
      <c r="CQ24" s="1045"/>
      <c r="CR24" s="1046"/>
      <c r="CS24" s="1047"/>
      <c r="CT24" s="1045"/>
      <c r="CU24" s="1046"/>
      <c r="CV24" s="1047"/>
      <c r="CW24" s="1045"/>
      <c r="CX24" s="1046"/>
      <c r="CY24" s="1048"/>
    </row>
    <row r="25" spans="1:103" ht="16.2" customHeight="1" outlineLevel="1">
      <c r="A25" s="141">
        <f t="shared" si="59"/>
        <v>24</v>
      </c>
      <c r="B25" s="102" t="s">
        <v>156</v>
      </c>
      <c r="C25" s="103" t="s">
        <v>272</v>
      </c>
      <c r="D25" s="476">
        <v>0.874</v>
      </c>
      <c r="E25" s="477">
        <v>2.8380000000000001</v>
      </c>
      <c r="F25" s="477">
        <v>3.3769999999999998</v>
      </c>
      <c r="G25" s="316">
        <v>0.40400000000000003</v>
      </c>
      <c r="H25" s="317">
        <v>2.2000000000000002</v>
      </c>
      <c r="I25" s="318">
        <f t="shared" si="63"/>
        <v>4.4455445544554459</v>
      </c>
      <c r="J25" s="319">
        <f t="shared" si="1"/>
        <v>1.5171624713958813</v>
      </c>
      <c r="K25" s="320">
        <v>1.8080000000000001</v>
      </c>
      <c r="L25" s="318">
        <f t="shared" si="64"/>
        <v>-0.17818181818181822</v>
      </c>
      <c r="M25" s="319">
        <f t="shared" si="3"/>
        <v>-0.36293164200140948</v>
      </c>
      <c r="N25" s="320">
        <v>2.0550000000000002</v>
      </c>
      <c r="O25" s="318">
        <f t="shared" si="4"/>
        <v>0.13661504424778759</v>
      </c>
      <c r="P25" s="319">
        <f t="shared" si="5"/>
        <v>-0.39147172046194834</v>
      </c>
      <c r="Q25" s="320">
        <v>2.7269999999999999</v>
      </c>
      <c r="R25" s="318">
        <f t="shared" si="6"/>
        <v>0.32700729927007277</v>
      </c>
      <c r="S25" s="321">
        <f t="shared" si="7"/>
        <v>5.7499999999999991</v>
      </c>
      <c r="T25" s="317">
        <v>1.6020000000000001</v>
      </c>
      <c r="U25" s="318">
        <f t="shared" si="65"/>
        <v>-0.41254125412541243</v>
      </c>
      <c r="V25" s="319">
        <f t="shared" si="9"/>
        <v>-0.27181818181818185</v>
      </c>
      <c r="W25" s="320">
        <v>3.27</v>
      </c>
      <c r="X25" s="318">
        <f t="shared" si="66"/>
        <v>1.0411985018726591</v>
      </c>
      <c r="Y25" s="319">
        <f t="shared" si="11"/>
        <v>0.8086283185840708</v>
      </c>
      <c r="Z25" s="320">
        <v>1.587</v>
      </c>
      <c r="AA25" s="318">
        <f t="shared" si="67"/>
        <v>-0.51467889908256881</v>
      </c>
      <c r="AB25" s="319">
        <f t="shared" si="13"/>
        <v>-0.22773722627737236</v>
      </c>
      <c r="AC25" s="320">
        <v>2.7440000000000002</v>
      </c>
      <c r="AD25" s="318">
        <f t="shared" si="68"/>
        <v>0.72904851921865177</v>
      </c>
      <c r="AE25" s="321">
        <f t="shared" si="15"/>
        <v>6.2339567290063957E-3</v>
      </c>
      <c r="AF25" s="317">
        <v>0.38800000000000001</v>
      </c>
      <c r="AG25" s="318">
        <f t="shared" si="69"/>
        <v>-0.85860058309037901</v>
      </c>
      <c r="AH25" s="319">
        <f t="shared" si="17"/>
        <v>-0.75780274656679159</v>
      </c>
      <c r="AI25" s="320">
        <v>1.712</v>
      </c>
      <c r="AJ25" s="318">
        <f t="shared" si="70"/>
        <v>3.412371134020618</v>
      </c>
      <c r="AK25" s="319">
        <f t="shared" si="19"/>
        <v>-0.47645259938837925</v>
      </c>
      <c r="AL25" s="320">
        <v>0.28999999999999998</v>
      </c>
      <c r="AM25" s="318">
        <f t="shared" si="71"/>
        <v>-0.83060747663551404</v>
      </c>
      <c r="AN25" s="319">
        <f t="shared" si="21"/>
        <v>-0.81726528040327662</v>
      </c>
      <c r="AO25" s="320">
        <v>2.04</v>
      </c>
      <c r="AP25" s="318">
        <f t="shared" si="82"/>
        <v>6.0344827586206904</v>
      </c>
      <c r="AQ25" s="321">
        <f t="shared" si="23"/>
        <v>-0.2565597667638484</v>
      </c>
      <c r="AR25" s="317">
        <v>0.94499999999999995</v>
      </c>
      <c r="AS25" s="318">
        <f t="shared" si="83"/>
        <v>-0.53676470588235303</v>
      </c>
      <c r="AT25" s="319">
        <f t="shared" si="25"/>
        <v>1.4355670103092781</v>
      </c>
      <c r="AU25" s="320">
        <v>2.2429950000000001</v>
      </c>
      <c r="AV25" s="318">
        <f t="shared" si="72"/>
        <v>1.3735396825396826</v>
      </c>
      <c r="AW25" s="319">
        <f t="shared" si="27"/>
        <v>0.31016063084112155</v>
      </c>
      <c r="AX25" s="320">
        <v>0.96899999999999997</v>
      </c>
      <c r="AY25" s="318">
        <f t="shared" si="73"/>
        <v>-0.5679883370225971</v>
      </c>
      <c r="AZ25" s="319">
        <f t="shared" si="29"/>
        <v>2.3413793103448279</v>
      </c>
      <c r="BA25" s="320">
        <v>0.51800000000000002</v>
      </c>
      <c r="BB25" s="318">
        <f t="shared" si="74"/>
        <v>-0.46542827657378738</v>
      </c>
      <c r="BC25" s="321">
        <f t="shared" si="31"/>
        <v>-0.74607843137254903</v>
      </c>
      <c r="BD25" s="317">
        <v>1.4710000000000001</v>
      </c>
      <c r="BE25" s="318">
        <f t="shared" si="75"/>
        <v>-0.48167723749119096</v>
      </c>
      <c r="BF25" s="319">
        <f>IFERROR(BD25/#REF!-1,)</f>
        <v>0</v>
      </c>
      <c r="BG25" s="320">
        <v>4.6500000000000004</v>
      </c>
      <c r="BH25" s="318">
        <f t="shared" si="76"/>
        <v>2.1611148878314075</v>
      </c>
      <c r="BI25" s="319">
        <f>IFERROR(BG25/#REF!-1,)</f>
        <v>0</v>
      </c>
      <c r="BJ25" s="320">
        <v>6.1243350000000003</v>
      </c>
      <c r="BK25" s="318">
        <f t="shared" si="77"/>
        <v>0.31706129032258068</v>
      </c>
      <c r="BL25" s="319">
        <f t="shared" si="61"/>
        <v>0</v>
      </c>
      <c r="BM25" s="320">
        <v>3.5609999999999999</v>
      </c>
      <c r="BN25" s="318">
        <f t="shared" si="78"/>
        <v>-0.41854911594483324</v>
      </c>
      <c r="BO25" s="321">
        <f t="shared" si="62"/>
        <v>0.25475687103594069</v>
      </c>
      <c r="BP25" s="317">
        <v>7.9550000000000001</v>
      </c>
      <c r="BQ25" s="318">
        <f t="shared" si="35"/>
        <v>1.2339230553215388</v>
      </c>
      <c r="BR25" s="319">
        <f t="shared" si="36"/>
        <v>4.4078857919782459</v>
      </c>
      <c r="BS25" s="320">
        <v>24.12</v>
      </c>
      <c r="BT25" s="318">
        <f t="shared" si="79"/>
        <v>2.0320553111250788</v>
      </c>
      <c r="BU25" s="319">
        <f t="shared" si="38"/>
        <v>4.1870967741935479</v>
      </c>
      <c r="BV25" s="320">
        <v>1.4410000000000001</v>
      </c>
      <c r="BW25" s="318">
        <f t="shared" si="80"/>
        <v>-0.94025704809286903</v>
      </c>
      <c r="BX25" s="319">
        <f t="shared" si="40"/>
        <v>-0.76470914801362111</v>
      </c>
      <c r="BY25" s="320">
        <v>8.4600000000000009</v>
      </c>
      <c r="BZ25" s="318">
        <f t="shared" si="81"/>
        <v>4.8709229701596115</v>
      </c>
      <c r="CA25" s="321">
        <f t="shared" si="42"/>
        <v>1.3757371524852573</v>
      </c>
      <c r="CB25" s="317">
        <v>6</v>
      </c>
      <c r="CC25" s="318">
        <f t="shared" si="43"/>
        <v>-0.29078014184397172</v>
      </c>
      <c r="CD25" s="319">
        <f t="shared" si="44"/>
        <v>-0.24575738529226898</v>
      </c>
      <c r="CE25" s="1045"/>
      <c r="CF25" s="1046"/>
      <c r="CG25" s="1047"/>
      <c r="CH25" s="1045"/>
      <c r="CI25" s="1046"/>
      <c r="CJ25" s="1047"/>
      <c r="CK25" s="1045"/>
      <c r="CL25" s="1046"/>
      <c r="CM25" s="1048"/>
      <c r="CN25" s="1045"/>
      <c r="CO25" s="1046"/>
      <c r="CP25" s="1047"/>
      <c r="CQ25" s="1045"/>
      <c r="CR25" s="1046"/>
      <c r="CS25" s="1047"/>
      <c r="CT25" s="1045"/>
      <c r="CU25" s="1046"/>
      <c r="CV25" s="1047"/>
      <c r="CW25" s="1045"/>
      <c r="CX25" s="1046"/>
      <c r="CY25" s="1048"/>
    </row>
    <row r="26" spans="1:103" ht="16.2" customHeight="1" outlineLevel="1">
      <c r="A26" s="141">
        <f t="shared" si="59"/>
        <v>25</v>
      </c>
      <c r="B26" s="102" t="s">
        <v>157</v>
      </c>
      <c r="C26" s="103" t="s">
        <v>158</v>
      </c>
      <c r="D26" s="476">
        <v>29.02</v>
      </c>
      <c r="E26" s="477">
        <v>38.457999999999998</v>
      </c>
      <c r="F26" s="477">
        <v>32.148000000000003</v>
      </c>
      <c r="G26" s="316">
        <v>53.89</v>
      </c>
      <c r="H26" s="317">
        <v>48.000999999999998</v>
      </c>
      <c r="I26" s="318">
        <f t="shared" si="63"/>
        <v>-0.10927815921321216</v>
      </c>
      <c r="J26" s="319">
        <f t="shared" si="1"/>
        <v>0.65406616126809092</v>
      </c>
      <c r="K26" s="320">
        <v>52.402999999999999</v>
      </c>
      <c r="L26" s="318">
        <f t="shared" si="64"/>
        <v>9.1706422782858787E-2</v>
      </c>
      <c r="M26" s="319">
        <f t="shared" si="3"/>
        <v>0.36260335950907496</v>
      </c>
      <c r="N26" s="320">
        <v>40.954000000000001</v>
      </c>
      <c r="O26" s="318">
        <f t="shared" si="4"/>
        <v>-0.21847985802339553</v>
      </c>
      <c r="P26" s="319">
        <f t="shared" si="5"/>
        <v>0.27392061714570093</v>
      </c>
      <c r="Q26" s="320">
        <v>58.067</v>
      </c>
      <c r="R26" s="318">
        <f t="shared" si="6"/>
        <v>0.4178590613859452</v>
      </c>
      <c r="S26" s="321">
        <f t="shared" si="7"/>
        <v>7.7509742067173759E-2</v>
      </c>
      <c r="T26" s="317">
        <v>57.42</v>
      </c>
      <c r="U26" s="318">
        <f t="shared" si="65"/>
        <v>-1.1142301134895893E-2</v>
      </c>
      <c r="V26" s="319">
        <f t="shared" si="9"/>
        <v>0.19622507864419503</v>
      </c>
      <c r="W26" s="320">
        <v>60.719000000000001</v>
      </c>
      <c r="X26" s="318">
        <f t="shared" si="66"/>
        <v>5.7453848833159071E-2</v>
      </c>
      <c r="Y26" s="319">
        <f t="shared" si="11"/>
        <v>0.15869320458752356</v>
      </c>
      <c r="Z26" s="320">
        <v>29.262</v>
      </c>
      <c r="AA26" s="318">
        <f t="shared" si="67"/>
        <v>-0.51807506711243601</v>
      </c>
      <c r="AB26" s="319">
        <f t="shared" si="13"/>
        <v>-0.28549103872637593</v>
      </c>
      <c r="AC26" s="320">
        <v>43.156999999999996</v>
      </c>
      <c r="AD26" s="318">
        <f t="shared" si="68"/>
        <v>0.47484792563734524</v>
      </c>
      <c r="AE26" s="321">
        <f t="shared" si="15"/>
        <v>-0.25677234918284053</v>
      </c>
      <c r="AF26" s="317">
        <v>102.057</v>
      </c>
      <c r="AG26" s="318">
        <f t="shared" si="69"/>
        <v>1.364784391871539</v>
      </c>
      <c r="AH26" s="319">
        <f t="shared" si="17"/>
        <v>0.77737722048066882</v>
      </c>
      <c r="AI26" s="320">
        <v>16.495000000000001</v>
      </c>
      <c r="AJ26" s="318">
        <f t="shared" si="70"/>
        <v>-0.83837463378308197</v>
      </c>
      <c r="AK26" s="319">
        <f t="shared" si="19"/>
        <v>-0.72833874075659999</v>
      </c>
      <c r="AL26" s="320">
        <v>10.592000000000001</v>
      </c>
      <c r="AM26" s="318">
        <f t="shared" si="71"/>
        <v>-0.35786602000606249</v>
      </c>
      <c r="AN26" s="319">
        <f t="shared" si="21"/>
        <v>-0.63802884286788331</v>
      </c>
      <c r="AO26" s="320">
        <v>134.61600000000001</v>
      </c>
      <c r="AP26" s="318">
        <f t="shared" si="82"/>
        <v>11.709214501510575</v>
      </c>
      <c r="AQ26" s="321">
        <f t="shared" si="23"/>
        <v>2.1192158861830066</v>
      </c>
      <c r="AR26" s="317">
        <v>129.94999999999999</v>
      </c>
      <c r="AS26" s="318">
        <f t="shared" si="83"/>
        <v>-3.4661555832887769E-2</v>
      </c>
      <c r="AT26" s="319">
        <f t="shared" si="25"/>
        <v>0.27330805334273967</v>
      </c>
      <c r="AU26" s="320">
        <v>25.524519999999988</v>
      </c>
      <c r="AV26" s="318">
        <f t="shared" si="72"/>
        <v>-0.80358199307425937</v>
      </c>
      <c r="AW26" s="319">
        <f t="shared" si="27"/>
        <v>0.54740951803576765</v>
      </c>
      <c r="AX26" s="320">
        <v>49.280889000000002</v>
      </c>
      <c r="AY26" s="318">
        <f t="shared" si="73"/>
        <v>0.93072735549973218</v>
      </c>
      <c r="AZ26" s="319">
        <f t="shared" si="29"/>
        <v>3.6526519070996981</v>
      </c>
      <c r="BA26" s="320">
        <v>65.498146000000006</v>
      </c>
      <c r="BB26" s="318">
        <f t="shared" si="74"/>
        <v>0.32907801237108369</v>
      </c>
      <c r="BC26" s="321">
        <f t="shared" si="31"/>
        <v>-0.51344456825340234</v>
      </c>
      <c r="BD26" s="317">
        <v>64.948830000000001</v>
      </c>
      <c r="BE26" s="318">
        <f t="shared" si="75"/>
        <v>0.68882495189557447</v>
      </c>
      <c r="BF26" s="319">
        <f>IFERROR(BD26/#REF!-1,)</f>
        <v>0</v>
      </c>
      <c r="BG26" s="320">
        <v>58.761779000000004</v>
      </c>
      <c r="BH26" s="318">
        <f t="shared" si="76"/>
        <v>-9.5260391911601738E-2</v>
      </c>
      <c r="BI26" s="319">
        <f>IFERROR(BG26/#REF!-1,)</f>
        <v>0</v>
      </c>
      <c r="BJ26" s="320">
        <v>19.258517999999999</v>
      </c>
      <c r="BK26" s="318">
        <f t="shared" si="77"/>
        <v>-0.67226114784577917</v>
      </c>
      <c r="BL26" s="319">
        <f t="shared" si="61"/>
        <v>0</v>
      </c>
      <c r="BM26" s="320">
        <v>86.635000000000005</v>
      </c>
      <c r="BN26" s="318">
        <f t="shared" si="78"/>
        <v>3.4985289106877282</v>
      </c>
      <c r="BO26" s="321">
        <f t="shared" si="62"/>
        <v>1.2527172499869992</v>
      </c>
      <c r="BP26" s="317">
        <v>96.108000000000004</v>
      </c>
      <c r="BQ26" s="318">
        <f t="shared" si="35"/>
        <v>0.10934379869567734</v>
      </c>
      <c r="BR26" s="319">
        <f t="shared" si="36"/>
        <v>0.47974951973730717</v>
      </c>
      <c r="BS26" s="320">
        <v>50.777000000000001</v>
      </c>
      <c r="BT26" s="318">
        <f t="shared" si="79"/>
        <v>-0.4716672909643318</v>
      </c>
      <c r="BU26" s="319">
        <f t="shared" si="38"/>
        <v>-0.13588388806268104</v>
      </c>
      <c r="BV26" s="320">
        <v>144.327</v>
      </c>
      <c r="BW26" s="318">
        <f t="shared" si="80"/>
        <v>1.8423695767768873</v>
      </c>
      <c r="BX26" s="319">
        <f t="shared" si="40"/>
        <v>6.4941903629344688</v>
      </c>
      <c r="BY26" s="320">
        <v>141.71700000000001</v>
      </c>
      <c r="BZ26" s="318">
        <f t="shared" si="81"/>
        <v>-1.8083934398968937E-2</v>
      </c>
      <c r="CA26" s="321">
        <f t="shared" si="42"/>
        <v>0.63579384775206327</v>
      </c>
      <c r="CB26" s="317">
        <v>38</v>
      </c>
      <c r="CC26" s="318">
        <f t="shared" si="43"/>
        <v>-0.73185997445613449</v>
      </c>
      <c r="CD26" s="319">
        <f t="shared" si="44"/>
        <v>-0.60461147875306942</v>
      </c>
      <c r="CE26" s="1045"/>
      <c r="CF26" s="1046"/>
      <c r="CG26" s="1047"/>
      <c r="CH26" s="1045"/>
      <c r="CI26" s="1046"/>
      <c r="CJ26" s="1047"/>
      <c r="CK26" s="1045"/>
      <c r="CL26" s="1046"/>
      <c r="CM26" s="1048"/>
      <c r="CN26" s="1045"/>
      <c r="CO26" s="1046"/>
      <c r="CP26" s="1047"/>
      <c r="CQ26" s="1045"/>
      <c r="CR26" s="1046"/>
      <c r="CS26" s="1047"/>
      <c r="CT26" s="1045"/>
      <c r="CU26" s="1046"/>
      <c r="CV26" s="1047"/>
      <c r="CW26" s="1045"/>
      <c r="CX26" s="1046"/>
      <c r="CY26" s="1048"/>
    </row>
    <row r="27" spans="1:103" ht="16.2" customHeight="1" outlineLevel="1">
      <c r="A27" s="141">
        <f t="shared" si="59"/>
        <v>26</v>
      </c>
      <c r="B27" s="102" t="s">
        <v>159</v>
      </c>
      <c r="C27" s="103" t="s">
        <v>273</v>
      </c>
      <c r="D27" s="476">
        <v>8.7149999999999999</v>
      </c>
      <c r="E27" s="477">
        <v>8.5090000000000003</v>
      </c>
      <c r="F27" s="477">
        <v>9.27</v>
      </c>
      <c r="G27" s="316">
        <v>11.981</v>
      </c>
      <c r="H27" s="317">
        <v>13.058999999999999</v>
      </c>
      <c r="I27" s="318">
        <f t="shared" si="63"/>
        <v>8.9975795008763848E-2</v>
      </c>
      <c r="J27" s="319">
        <f t="shared" si="1"/>
        <v>0.4984509466437177</v>
      </c>
      <c r="K27" s="320">
        <v>12.664</v>
      </c>
      <c r="L27" s="318">
        <f t="shared" si="64"/>
        <v>-3.0247338999923379E-2</v>
      </c>
      <c r="M27" s="319">
        <f t="shared" si="3"/>
        <v>0.48830649900105771</v>
      </c>
      <c r="N27" s="320">
        <v>11.855</v>
      </c>
      <c r="O27" s="318">
        <f t="shared" si="4"/>
        <v>-6.3881869867340457E-2</v>
      </c>
      <c r="P27" s="319">
        <f t="shared" si="5"/>
        <v>0.27885652642934211</v>
      </c>
      <c r="Q27" s="320">
        <v>11.071999999999999</v>
      </c>
      <c r="R27" s="318">
        <f t="shared" si="6"/>
        <v>-6.6048080978490242E-2</v>
      </c>
      <c r="S27" s="321">
        <f t="shared" si="7"/>
        <v>-7.5870127702195256E-2</v>
      </c>
      <c r="T27" s="317">
        <v>7.4219999999999997</v>
      </c>
      <c r="U27" s="318">
        <f t="shared" si="65"/>
        <v>-0.32966040462427748</v>
      </c>
      <c r="V27" s="319">
        <f t="shared" si="9"/>
        <v>-0.43165632896852746</v>
      </c>
      <c r="W27" s="320">
        <v>5.2750000000000004</v>
      </c>
      <c r="X27" s="318">
        <f t="shared" si="66"/>
        <v>-0.28927512799784416</v>
      </c>
      <c r="Y27" s="319">
        <f t="shared" si="11"/>
        <v>-0.5834649399873657</v>
      </c>
      <c r="Z27" s="320">
        <v>5.6349999999999998</v>
      </c>
      <c r="AA27" s="318">
        <f t="shared" si="67"/>
        <v>6.8246445497630148E-2</v>
      </c>
      <c r="AB27" s="319">
        <f t="shared" si="13"/>
        <v>-0.52467313369886126</v>
      </c>
      <c r="AC27" s="320">
        <v>7.9020000000000001</v>
      </c>
      <c r="AD27" s="318">
        <f t="shared" si="68"/>
        <v>0.40230700976042599</v>
      </c>
      <c r="AE27" s="321">
        <f t="shared" si="15"/>
        <v>-0.28630780346820806</v>
      </c>
      <c r="AF27" s="317">
        <v>2.8879999999999999</v>
      </c>
      <c r="AG27" s="318">
        <f t="shared" si="69"/>
        <v>-0.63452290559352065</v>
      </c>
      <c r="AH27" s="319">
        <f t="shared" si="17"/>
        <v>-0.61088655348962551</v>
      </c>
      <c r="AI27" s="320">
        <v>3.3149999999999999</v>
      </c>
      <c r="AJ27" s="318">
        <f t="shared" si="70"/>
        <v>0.14785318559556782</v>
      </c>
      <c r="AK27" s="319">
        <f t="shared" si="19"/>
        <v>-0.37156398104265409</v>
      </c>
      <c r="AL27" s="320">
        <v>2.7320000000000002</v>
      </c>
      <c r="AM27" s="318">
        <f t="shared" si="71"/>
        <v>-0.17586726998491697</v>
      </c>
      <c r="AN27" s="319">
        <f t="shared" si="21"/>
        <v>-0.51517302573203194</v>
      </c>
      <c r="AO27" s="320">
        <v>4.492</v>
      </c>
      <c r="AP27" s="318">
        <f t="shared" si="82"/>
        <v>0.64421669106881385</v>
      </c>
      <c r="AQ27" s="321">
        <f t="shared" si="23"/>
        <v>-0.43153631991900787</v>
      </c>
      <c r="AR27" s="317">
        <v>4.5759999999999996</v>
      </c>
      <c r="AS27" s="318">
        <f t="shared" si="83"/>
        <v>1.8699910952804988E-2</v>
      </c>
      <c r="AT27" s="319">
        <f t="shared" si="25"/>
        <v>0.58448753462603875</v>
      </c>
      <c r="AU27" s="320">
        <v>3.36409</v>
      </c>
      <c r="AV27" s="318">
        <f t="shared" si="72"/>
        <v>-0.26484047202797201</v>
      </c>
      <c r="AW27" s="319">
        <f t="shared" si="27"/>
        <v>1.4808446455505386E-2</v>
      </c>
      <c r="AX27" s="320">
        <v>4.3315659999999996</v>
      </c>
      <c r="AY27" s="318">
        <f t="shared" si="73"/>
        <v>0.28758921431947404</v>
      </c>
      <c r="AZ27" s="319">
        <f t="shared" si="29"/>
        <v>0.58549267935578309</v>
      </c>
      <c r="BA27" s="320">
        <v>10.280646000000001</v>
      </c>
      <c r="BB27" s="318">
        <f t="shared" si="74"/>
        <v>1.3734247613911461</v>
      </c>
      <c r="BC27" s="321">
        <f t="shared" si="31"/>
        <v>1.2886567230632235</v>
      </c>
      <c r="BD27" s="317">
        <v>5.4849489999999994</v>
      </c>
      <c r="BE27" s="318">
        <f t="shared" si="75"/>
        <v>-0.35539440592314031</v>
      </c>
      <c r="BF27" s="319">
        <f>IFERROR(BD27/#REF!-1,)</f>
        <v>0</v>
      </c>
      <c r="BG27" s="320">
        <v>3.4533800000000001</v>
      </c>
      <c r="BH27" s="318">
        <f t="shared" si="76"/>
        <v>-0.37038977026039799</v>
      </c>
      <c r="BI27" s="319">
        <f>IFERROR(BG27/#REF!-1,)</f>
        <v>0</v>
      </c>
      <c r="BJ27" s="320">
        <v>6.5245360000000003</v>
      </c>
      <c r="BK27" s="318">
        <f t="shared" si="77"/>
        <v>0.88931887020831768</v>
      </c>
      <c r="BL27" s="319">
        <f t="shared" si="61"/>
        <v>0</v>
      </c>
      <c r="BM27" s="320">
        <v>3.9359999999999999</v>
      </c>
      <c r="BN27" s="318">
        <f t="shared" si="78"/>
        <v>-0.3967387106148238</v>
      </c>
      <c r="BO27" s="321">
        <f t="shared" si="62"/>
        <v>-0.53743095545892583</v>
      </c>
      <c r="BP27" s="317">
        <v>5.0010000000000003</v>
      </c>
      <c r="BQ27" s="318">
        <f t="shared" si="35"/>
        <v>0.27057926829268308</v>
      </c>
      <c r="BR27" s="319">
        <f t="shared" si="36"/>
        <v>-8.8232178640129444E-2</v>
      </c>
      <c r="BS27" s="320">
        <v>4.6269999999999998</v>
      </c>
      <c r="BT27" s="318">
        <f t="shared" si="79"/>
        <v>-7.4785042991401873E-2</v>
      </c>
      <c r="BU27" s="319">
        <f t="shared" si="38"/>
        <v>0.33984675882758331</v>
      </c>
      <c r="BV27" s="320">
        <v>4.0720000000000001</v>
      </c>
      <c r="BW27" s="318">
        <f t="shared" si="80"/>
        <v>-0.11994813053814557</v>
      </c>
      <c r="BX27" s="319">
        <f t="shared" si="40"/>
        <v>-0.37589431646940108</v>
      </c>
      <c r="BY27" s="320">
        <v>4.9420000000000002</v>
      </c>
      <c r="BZ27" s="318">
        <f t="shared" si="81"/>
        <v>0.21365422396856593</v>
      </c>
      <c r="CA27" s="321">
        <f t="shared" si="42"/>
        <v>0.25558943089430897</v>
      </c>
      <c r="CB27" s="317">
        <v>5</v>
      </c>
      <c r="CC27" s="318">
        <f t="shared" si="43"/>
        <v>1.1736139214892694E-2</v>
      </c>
      <c r="CD27" s="319">
        <f t="shared" si="44"/>
        <v>-1.9996000799848979E-4</v>
      </c>
      <c r="CE27" s="1045"/>
      <c r="CF27" s="1046"/>
      <c r="CG27" s="1047"/>
      <c r="CH27" s="1045"/>
      <c r="CI27" s="1046"/>
      <c r="CJ27" s="1047"/>
      <c r="CK27" s="1045"/>
      <c r="CL27" s="1046"/>
      <c r="CM27" s="1048"/>
      <c r="CN27" s="1045"/>
      <c r="CO27" s="1046"/>
      <c r="CP27" s="1047"/>
      <c r="CQ27" s="1045"/>
      <c r="CR27" s="1046"/>
      <c r="CS27" s="1047"/>
      <c r="CT27" s="1045"/>
      <c r="CU27" s="1046"/>
      <c r="CV27" s="1047"/>
      <c r="CW27" s="1045"/>
      <c r="CX27" s="1046"/>
      <c r="CY27" s="1048"/>
    </row>
    <row r="28" spans="1:103" ht="16.2" customHeight="1" outlineLevel="1">
      <c r="A28" s="141">
        <f t="shared" si="59"/>
        <v>27</v>
      </c>
      <c r="B28" s="102" t="s">
        <v>54</v>
      </c>
      <c r="C28" s="103" t="s">
        <v>274</v>
      </c>
      <c r="D28" s="476">
        <v>73.09</v>
      </c>
      <c r="E28" s="477">
        <v>62.7</v>
      </c>
      <c r="F28" s="477">
        <v>55.139000000000003</v>
      </c>
      <c r="G28" s="316">
        <v>62.332000000000001</v>
      </c>
      <c r="H28" s="317">
        <v>123.158</v>
      </c>
      <c r="I28" s="318">
        <f t="shared" si="63"/>
        <v>0.9758390553808638</v>
      </c>
      <c r="J28" s="319">
        <f t="shared" si="1"/>
        <v>0.68501847037898478</v>
      </c>
      <c r="K28" s="320">
        <v>69.156999999999996</v>
      </c>
      <c r="L28" s="318">
        <f t="shared" si="64"/>
        <v>-0.4384692833595869</v>
      </c>
      <c r="M28" s="319">
        <f t="shared" si="3"/>
        <v>0.10298245614035073</v>
      </c>
      <c r="N28" s="320">
        <v>43.512999999999998</v>
      </c>
      <c r="O28" s="318">
        <f t="shared" si="4"/>
        <v>-0.37080845033763754</v>
      </c>
      <c r="P28" s="319">
        <f t="shared" si="5"/>
        <v>-0.21084894539255339</v>
      </c>
      <c r="Q28" s="320">
        <v>17.170000000000002</v>
      </c>
      <c r="R28" s="318">
        <f t="shared" si="6"/>
        <v>-0.60540528118033687</v>
      </c>
      <c r="S28" s="321">
        <f t="shared" si="7"/>
        <v>-0.72453956234357952</v>
      </c>
      <c r="T28" s="317">
        <v>66.292000000000002</v>
      </c>
      <c r="U28" s="318">
        <f t="shared" si="65"/>
        <v>2.8609202096680253</v>
      </c>
      <c r="V28" s="319">
        <f t="shared" si="9"/>
        <v>-0.4617320839896718</v>
      </c>
      <c r="W28" s="320">
        <v>16.728000000000002</v>
      </c>
      <c r="X28" s="318">
        <f t="shared" si="66"/>
        <v>-0.74766185965123988</v>
      </c>
      <c r="Y28" s="319">
        <f t="shared" si="11"/>
        <v>-0.75811559205864909</v>
      </c>
      <c r="Z28" s="320">
        <v>21.324999999999999</v>
      </c>
      <c r="AA28" s="318">
        <f t="shared" si="67"/>
        <v>0.2748087039693925</v>
      </c>
      <c r="AB28" s="319">
        <f t="shared" si="13"/>
        <v>-0.50991657665525247</v>
      </c>
      <c r="AC28" s="320">
        <v>26.46</v>
      </c>
      <c r="AD28" s="318">
        <f t="shared" si="68"/>
        <v>0.24079718640093795</v>
      </c>
      <c r="AE28" s="321">
        <f t="shared" si="15"/>
        <v>0.54105998835177616</v>
      </c>
      <c r="AF28" s="317">
        <v>30.109000000000002</v>
      </c>
      <c r="AG28" s="318">
        <f t="shared" si="69"/>
        <v>0.13790627362055941</v>
      </c>
      <c r="AH28" s="319">
        <f t="shared" si="17"/>
        <v>-0.54581246605925293</v>
      </c>
      <c r="AI28" s="320">
        <v>20.038</v>
      </c>
      <c r="AJ28" s="318">
        <f t="shared" si="70"/>
        <v>-0.33448470556976317</v>
      </c>
      <c r="AK28" s="319">
        <f t="shared" si="19"/>
        <v>0.19787183165949296</v>
      </c>
      <c r="AL28" s="320">
        <v>33.878999999999998</v>
      </c>
      <c r="AM28" s="318">
        <f t="shared" si="71"/>
        <v>0.69073759856273065</v>
      </c>
      <c r="AN28" s="319">
        <f t="shared" si="21"/>
        <v>0.58869871043376309</v>
      </c>
      <c r="AO28" s="320">
        <v>76.872</v>
      </c>
      <c r="AP28" s="318">
        <f t="shared" si="82"/>
        <v>1.2690162047285929</v>
      </c>
      <c r="AQ28" s="321">
        <f t="shared" si="23"/>
        <v>1.9052154195011335</v>
      </c>
      <c r="AR28" s="317">
        <v>44.045000000000002</v>
      </c>
      <c r="AS28" s="318">
        <f t="shared" si="83"/>
        <v>-0.4270345509418253</v>
      </c>
      <c r="AT28" s="319">
        <f t="shared" si="25"/>
        <v>0.46285163904480386</v>
      </c>
      <c r="AU28" s="320">
        <v>37.768633000000001</v>
      </c>
      <c r="AV28" s="318">
        <f t="shared" si="72"/>
        <v>-0.14249896696560338</v>
      </c>
      <c r="AW28" s="319">
        <f t="shared" si="27"/>
        <v>0.88485043417506737</v>
      </c>
      <c r="AX28" s="320">
        <v>37.536000000000001</v>
      </c>
      <c r="AY28" s="318">
        <f t="shared" si="73"/>
        <v>-6.1594233500588125E-3</v>
      </c>
      <c r="AZ28" s="319">
        <f t="shared" si="29"/>
        <v>0.10794297352342164</v>
      </c>
      <c r="BA28" s="320">
        <v>25.192686000000002</v>
      </c>
      <c r="BB28" s="318">
        <f t="shared" si="74"/>
        <v>-0.32883935421994881</v>
      </c>
      <c r="BC28" s="321">
        <f t="shared" si="31"/>
        <v>-0.67227747424289719</v>
      </c>
      <c r="BD28" s="317">
        <v>15.141788</v>
      </c>
      <c r="BE28" s="318">
        <f t="shared" si="75"/>
        <v>-0.75850417862838915</v>
      </c>
      <c r="BF28" s="319">
        <f>IFERROR(BD28/#REF!-1,)</f>
        <v>0</v>
      </c>
      <c r="BG28" s="320">
        <v>66.614672000000013</v>
      </c>
      <c r="BH28" s="318">
        <f t="shared" si="76"/>
        <v>3.3993927269355515</v>
      </c>
      <c r="BI28" s="319">
        <f>IFERROR(BG28/#REF!-1,)</f>
        <v>0</v>
      </c>
      <c r="BJ28" s="320">
        <v>26.903271</v>
      </c>
      <c r="BK28" s="318">
        <f t="shared" si="77"/>
        <v>-0.59613595335273895</v>
      </c>
      <c r="BL28" s="319">
        <f t="shared" si="61"/>
        <v>0</v>
      </c>
      <c r="BM28" s="320">
        <v>29.285</v>
      </c>
      <c r="BN28" s="318">
        <f t="shared" si="78"/>
        <v>8.8529346487272953E-2</v>
      </c>
      <c r="BO28" s="321">
        <f t="shared" si="62"/>
        <v>-0.53293460925039882</v>
      </c>
      <c r="BP28" s="317">
        <v>58.143999999999998</v>
      </c>
      <c r="BQ28" s="318">
        <f t="shared" si="35"/>
        <v>0.98545330373911555</v>
      </c>
      <c r="BR28" s="319">
        <f t="shared" si="36"/>
        <v>2.8399692295256016</v>
      </c>
      <c r="BS28" s="320">
        <v>47.667000000000002</v>
      </c>
      <c r="BT28" s="318">
        <f t="shared" si="79"/>
        <v>-0.18019056136488709</v>
      </c>
      <c r="BU28" s="319">
        <f t="shared" si="38"/>
        <v>-0.2844369180411187</v>
      </c>
      <c r="BV28" s="320">
        <v>54.433999999999997</v>
      </c>
      <c r="BW28" s="318">
        <f t="shared" si="80"/>
        <v>0.14196404220949499</v>
      </c>
      <c r="BX28" s="319">
        <f t="shared" si="40"/>
        <v>1.023322740197651</v>
      </c>
      <c r="BY28" s="320">
        <v>34.817999999999998</v>
      </c>
      <c r="BZ28" s="318">
        <f t="shared" si="81"/>
        <v>-0.36036300841385904</v>
      </c>
      <c r="CA28" s="321">
        <f t="shared" si="42"/>
        <v>0.18893631551989065</v>
      </c>
      <c r="CB28" s="317">
        <v>27</v>
      </c>
      <c r="CC28" s="318">
        <f t="shared" si="43"/>
        <v>-0.22453903153541266</v>
      </c>
      <c r="CD28" s="319">
        <f t="shared" si="44"/>
        <v>-0.5356356631810677</v>
      </c>
      <c r="CE28" s="1045"/>
      <c r="CF28" s="1046"/>
      <c r="CG28" s="1047"/>
      <c r="CH28" s="1045"/>
      <c r="CI28" s="1046"/>
      <c r="CJ28" s="1047"/>
      <c r="CK28" s="1045"/>
      <c r="CL28" s="1046"/>
      <c r="CM28" s="1048"/>
      <c r="CN28" s="1045"/>
      <c r="CO28" s="1046"/>
      <c r="CP28" s="1047"/>
      <c r="CQ28" s="1045"/>
      <c r="CR28" s="1046"/>
      <c r="CS28" s="1047"/>
      <c r="CT28" s="1045"/>
      <c r="CU28" s="1046"/>
      <c r="CV28" s="1047"/>
      <c r="CW28" s="1045"/>
      <c r="CX28" s="1046"/>
      <c r="CY28" s="1048"/>
    </row>
    <row r="29" spans="1:103" ht="16.2" customHeight="1" outlineLevel="1">
      <c r="A29" s="141">
        <f t="shared" si="59"/>
        <v>28</v>
      </c>
      <c r="B29" s="102" t="s">
        <v>160</v>
      </c>
      <c r="C29" s="103" t="s">
        <v>168</v>
      </c>
      <c r="D29" s="476">
        <v>2.0779999999999998</v>
      </c>
      <c r="E29" s="477">
        <v>1.385</v>
      </c>
      <c r="F29" s="477">
        <v>0.251</v>
      </c>
      <c r="G29" s="316">
        <v>9.1620000000000008</v>
      </c>
      <c r="H29" s="317">
        <v>10.188000000000001</v>
      </c>
      <c r="I29" s="318">
        <f t="shared" si="63"/>
        <v>0.11198428290766205</v>
      </c>
      <c r="J29" s="319">
        <f t="shared" si="1"/>
        <v>3.902791145332051</v>
      </c>
      <c r="K29" s="320">
        <v>5.5279999999999996</v>
      </c>
      <c r="L29" s="318">
        <f t="shared" si="64"/>
        <v>-0.45740086376128786</v>
      </c>
      <c r="M29" s="319">
        <f t="shared" si="3"/>
        <v>2.991335740072202</v>
      </c>
      <c r="N29" s="320">
        <v>18.823</v>
      </c>
      <c r="O29" s="318">
        <f t="shared" si="4"/>
        <v>2.4050289435600583</v>
      </c>
      <c r="P29" s="319">
        <f t="shared" si="5"/>
        <v>73.992031872509955</v>
      </c>
      <c r="Q29" s="320">
        <v>12.846</v>
      </c>
      <c r="R29" s="318">
        <f t="shared" si="6"/>
        <v>-0.31753705572969237</v>
      </c>
      <c r="S29" s="321">
        <f t="shared" si="7"/>
        <v>0.40209561231172231</v>
      </c>
      <c r="T29" s="317">
        <v>1.9530000000000001</v>
      </c>
      <c r="U29" s="318">
        <f t="shared" si="65"/>
        <v>-0.8479682391405885</v>
      </c>
      <c r="V29" s="319">
        <f t="shared" si="9"/>
        <v>-0.80830388692579502</v>
      </c>
      <c r="W29" s="320">
        <v>2.9220000000000002</v>
      </c>
      <c r="X29" s="318">
        <f t="shared" si="66"/>
        <v>0.49615975422427039</v>
      </c>
      <c r="Y29" s="319">
        <f t="shared" si="11"/>
        <v>-0.47141823444283637</v>
      </c>
      <c r="Z29" s="320">
        <v>33.845999999999997</v>
      </c>
      <c r="AA29" s="318">
        <f t="shared" si="67"/>
        <v>10.583162217659137</v>
      </c>
      <c r="AB29" s="319">
        <f t="shared" si="13"/>
        <v>0.79811932210593395</v>
      </c>
      <c r="AC29" s="320">
        <v>6.5549999999999997</v>
      </c>
      <c r="AD29" s="318">
        <f t="shared" si="68"/>
        <v>-0.806328665130296</v>
      </c>
      <c r="AE29" s="321">
        <f t="shared" si="15"/>
        <v>-0.48972442783745918</v>
      </c>
      <c r="AF29" s="317">
        <v>38.247</v>
      </c>
      <c r="AG29" s="318">
        <f t="shared" si="69"/>
        <v>4.8347826086956527</v>
      </c>
      <c r="AH29" s="319">
        <f t="shared" si="17"/>
        <v>18.583717357910906</v>
      </c>
      <c r="AI29" s="320">
        <v>109.536</v>
      </c>
      <c r="AJ29" s="318">
        <f t="shared" si="70"/>
        <v>1.8639108949721548</v>
      </c>
      <c r="AK29" s="319">
        <f t="shared" si="19"/>
        <v>36.486652977412732</v>
      </c>
      <c r="AL29" s="320">
        <v>15.568</v>
      </c>
      <c r="AM29" s="318">
        <f t="shared" si="71"/>
        <v>-0.85787321063394684</v>
      </c>
      <c r="AN29" s="319">
        <f t="shared" si="21"/>
        <v>-0.5400342728830585</v>
      </c>
      <c r="AO29" s="320">
        <v>5.3789999999999996</v>
      </c>
      <c r="AP29" s="318">
        <f t="shared" si="82"/>
        <v>-0.65448355601233299</v>
      </c>
      <c r="AQ29" s="321">
        <f t="shared" si="23"/>
        <v>-0.17940503432494281</v>
      </c>
      <c r="AR29" s="317">
        <v>31.414000000000001</v>
      </c>
      <c r="AS29" s="318">
        <f t="shared" si="83"/>
        <v>4.8401189812232763</v>
      </c>
      <c r="AT29" s="319">
        <f t="shared" si="25"/>
        <v>-0.17865453499620876</v>
      </c>
      <c r="AU29" s="320">
        <v>14.068714999999996</v>
      </c>
      <c r="AV29" s="318">
        <f t="shared" si="72"/>
        <v>-0.55215142929903882</v>
      </c>
      <c r="AW29" s="319">
        <f t="shared" si="27"/>
        <v>-0.8715608110575519</v>
      </c>
      <c r="AX29" s="320">
        <v>11.994956</v>
      </c>
      <c r="AY29" s="318">
        <f t="shared" si="73"/>
        <v>-0.14740216146250718</v>
      </c>
      <c r="AZ29" s="319">
        <f t="shared" si="29"/>
        <v>-0.22951207605344293</v>
      </c>
      <c r="BA29" s="320">
        <v>116.45084</v>
      </c>
      <c r="BB29" s="318">
        <f t="shared" si="74"/>
        <v>8.7083173960788187</v>
      </c>
      <c r="BC29" s="321">
        <f t="shared" si="31"/>
        <v>20.649161554192229</v>
      </c>
      <c r="BD29" s="317">
        <v>4.9169999999999998</v>
      </c>
      <c r="BE29" s="318">
        <f t="shared" si="75"/>
        <v>2.5501805054151623</v>
      </c>
      <c r="BF29" s="319">
        <f>IFERROR(BD29/#REF!-1,)</f>
        <v>0</v>
      </c>
      <c r="BG29" s="320">
        <v>6.0999999999999999E-2</v>
      </c>
      <c r="BH29" s="318">
        <f t="shared" si="76"/>
        <v>-0.98759406141956474</v>
      </c>
      <c r="BI29" s="319">
        <f>IFERROR(BG29/#REF!-1,)</f>
        <v>0</v>
      </c>
      <c r="BJ29" s="320">
        <v>6.7000000000000004E-2</v>
      </c>
      <c r="BK29" s="318">
        <f t="shared" si="77"/>
        <v>9.8360655737705027E-2</v>
      </c>
      <c r="BL29" s="319">
        <f t="shared" si="61"/>
        <v>0</v>
      </c>
      <c r="BM29" s="320">
        <v>185.62100000000001</v>
      </c>
      <c r="BN29" s="318">
        <f t="shared" si="78"/>
        <v>2769.4626865671639</v>
      </c>
      <c r="BO29" s="321">
        <f t="shared" si="62"/>
        <v>133.02238267148016</v>
      </c>
      <c r="BP29" s="317">
        <v>0.75600000000000001</v>
      </c>
      <c r="BQ29" s="318">
        <f t="shared" si="35"/>
        <v>-0.99592718496290833</v>
      </c>
      <c r="BR29" s="319">
        <f t="shared" si="36"/>
        <v>-0.84624771201952409</v>
      </c>
      <c r="BS29" s="320">
        <v>2.6040000000000001</v>
      </c>
      <c r="BT29" s="318">
        <f t="shared" si="79"/>
        <v>2.4444444444444446</v>
      </c>
      <c r="BU29" s="319">
        <f t="shared" si="38"/>
        <v>41.688524590163937</v>
      </c>
      <c r="BV29" s="320">
        <v>2.181</v>
      </c>
      <c r="BW29" s="318">
        <f t="shared" si="80"/>
        <v>-0.1624423963133641</v>
      </c>
      <c r="BX29" s="319">
        <f t="shared" si="40"/>
        <v>31.552238805970148</v>
      </c>
      <c r="BY29" s="320">
        <v>16.704999999999998</v>
      </c>
      <c r="BZ29" s="318">
        <f t="shared" si="81"/>
        <v>6.6593305823016955</v>
      </c>
      <c r="CA29" s="321">
        <f t="shared" si="42"/>
        <v>-0.91000479471611506</v>
      </c>
      <c r="CB29" s="317">
        <v>33</v>
      </c>
      <c r="CC29" s="318">
        <f t="shared" si="43"/>
        <v>0.97545645016462168</v>
      </c>
      <c r="CD29" s="319">
        <f t="shared" si="44"/>
        <v>42.650793650793652</v>
      </c>
      <c r="CE29" s="1045"/>
      <c r="CF29" s="1046"/>
      <c r="CG29" s="1047"/>
      <c r="CH29" s="1045"/>
      <c r="CI29" s="1046"/>
      <c r="CJ29" s="1047"/>
      <c r="CK29" s="1045"/>
      <c r="CL29" s="1046"/>
      <c r="CM29" s="1048"/>
      <c r="CN29" s="1045"/>
      <c r="CO29" s="1046"/>
      <c r="CP29" s="1047"/>
      <c r="CQ29" s="1045"/>
      <c r="CR29" s="1046"/>
      <c r="CS29" s="1047"/>
      <c r="CT29" s="1045"/>
      <c r="CU29" s="1046"/>
      <c r="CV29" s="1047"/>
      <c r="CW29" s="1045"/>
      <c r="CX29" s="1046"/>
      <c r="CY29" s="1048"/>
    </row>
    <row r="30" spans="1:103" ht="16.2" customHeight="1" outlineLevel="1">
      <c r="A30" s="141">
        <f>A35+1</f>
        <v>30</v>
      </c>
      <c r="B30" s="102" t="s">
        <v>161</v>
      </c>
      <c r="C30" s="103" t="s">
        <v>162</v>
      </c>
      <c r="D30" s="476">
        <v>29.452000000000002</v>
      </c>
      <c r="E30" s="477">
        <v>36.743000000000002</v>
      </c>
      <c r="F30" s="477">
        <v>49.982999999999997</v>
      </c>
      <c r="G30" s="316">
        <v>54.643999999999998</v>
      </c>
      <c r="H30" s="317">
        <v>58.978999999999999</v>
      </c>
      <c r="I30" s="318">
        <f t="shared" si="63"/>
        <v>7.933167410877684E-2</v>
      </c>
      <c r="J30" s="319">
        <f t="shared" si="1"/>
        <v>1.0025465163656118</v>
      </c>
      <c r="K30" s="320">
        <v>76.563000000000002</v>
      </c>
      <c r="L30" s="318">
        <f>K30/H30-1</f>
        <v>0.2981400159378762</v>
      </c>
      <c r="M30" s="319">
        <f t="shared" si="3"/>
        <v>1.083743842364532</v>
      </c>
      <c r="N30" s="320">
        <v>56.276000000000003</v>
      </c>
      <c r="O30" s="318">
        <f>N30/K30-1</f>
        <v>-0.26497133079947233</v>
      </c>
      <c r="P30" s="319">
        <f t="shared" si="5"/>
        <v>0.12590280695436462</v>
      </c>
      <c r="Q30" s="320">
        <v>-11.433</v>
      </c>
      <c r="R30" s="318">
        <f>Q30/N30-1</f>
        <v>-1.2031594285308125</v>
      </c>
      <c r="S30" s="321">
        <f t="shared" si="7"/>
        <v>-1.209226996559549</v>
      </c>
      <c r="T30" s="317">
        <v>39.454000000000001</v>
      </c>
      <c r="U30" s="318">
        <f t="shared" si="65"/>
        <v>-4.4508877809848686</v>
      </c>
      <c r="V30" s="319">
        <f t="shared" si="9"/>
        <v>-0.33105003475813422</v>
      </c>
      <c r="W30" s="320">
        <v>36.473999999999997</v>
      </c>
      <c r="X30" s="318">
        <f t="shared" si="66"/>
        <v>-7.5530998124398119E-2</v>
      </c>
      <c r="Y30" s="319">
        <f t="shared" si="11"/>
        <v>-0.52360800909055294</v>
      </c>
      <c r="Z30" s="320">
        <v>35.292999999999999</v>
      </c>
      <c r="AA30" s="318">
        <f t="shared" si="67"/>
        <v>-3.2379229039863899E-2</v>
      </c>
      <c r="AB30" s="319">
        <f t="shared" si="13"/>
        <v>-0.37285876750302083</v>
      </c>
      <c r="AC30" s="320">
        <v>31.800999999999998</v>
      </c>
      <c r="AD30" s="318">
        <f t="shared" si="68"/>
        <v>-9.8943133199217992E-2</v>
      </c>
      <c r="AE30" s="321">
        <f t="shared" si="15"/>
        <v>-3.7815096650048106</v>
      </c>
      <c r="AF30" s="317">
        <v>58.715000000000003</v>
      </c>
      <c r="AG30" s="318">
        <f t="shared" si="69"/>
        <v>0.8463255872456843</v>
      </c>
      <c r="AH30" s="319">
        <f t="shared" si="17"/>
        <v>0.48818877680336592</v>
      </c>
      <c r="AI30" s="320">
        <v>130.05199999999999</v>
      </c>
      <c r="AJ30" s="318">
        <f t="shared" si="70"/>
        <v>1.2149706207953672</v>
      </c>
      <c r="AK30" s="319">
        <f t="shared" si="19"/>
        <v>2.5656083785710369</v>
      </c>
      <c r="AL30" s="320">
        <v>86.716999999999999</v>
      </c>
      <c r="AM30" s="318">
        <f t="shared" si="71"/>
        <v>-0.33321286869867439</v>
      </c>
      <c r="AN30" s="319">
        <f t="shared" si="21"/>
        <v>1.4570594735499958</v>
      </c>
      <c r="AO30" s="320">
        <v>53.796999999999997</v>
      </c>
      <c r="AP30" s="318">
        <f t="shared" si="82"/>
        <v>-0.37962567893261989</v>
      </c>
      <c r="AQ30" s="321">
        <f t="shared" si="23"/>
        <v>0.69167636237854158</v>
      </c>
      <c r="AR30" s="317">
        <v>57.457999999999998</v>
      </c>
      <c r="AS30" s="318">
        <f t="shared" si="83"/>
        <v>6.8052121865531667E-2</v>
      </c>
      <c r="AT30" s="319">
        <f t="shared" si="25"/>
        <v>-2.140849868006478E-2</v>
      </c>
      <c r="AU30" s="320">
        <v>33.599285999999992</v>
      </c>
      <c r="AV30" s="318">
        <f t="shared" si="72"/>
        <v>-0.41523746040586185</v>
      </c>
      <c r="AW30" s="319">
        <f t="shared" si="27"/>
        <v>-0.7416472949281826</v>
      </c>
      <c r="AX30" s="320">
        <v>93.052616999999998</v>
      </c>
      <c r="AY30" s="318">
        <f t="shared" si="73"/>
        <v>1.7694819764920009</v>
      </c>
      <c r="AZ30" s="319">
        <f t="shared" si="29"/>
        <v>7.3060841588154624E-2</v>
      </c>
      <c r="BA30" s="320">
        <v>45.360546999999997</v>
      </c>
      <c r="BB30" s="318">
        <f t="shared" si="74"/>
        <v>-0.51252798188362614</v>
      </c>
      <c r="BC30" s="321">
        <f t="shared" si="31"/>
        <v>-0.15682013866944255</v>
      </c>
      <c r="BD30" s="317">
        <v>52.9771</v>
      </c>
      <c r="BE30" s="318">
        <f t="shared" si="75"/>
        <v>0.44182837547287912</v>
      </c>
      <c r="BF30" s="319">
        <f>IFERROR(BD30/#REF!-1,)</f>
        <v>0</v>
      </c>
      <c r="BG30" s="320">
        <v>52.276432999999997</v>
      </c>
      <c r="BH30" s="318">
        <f t="shared" si="76"/>
        <v>-1.3225846639397076E-2</v>
      </c>
      <c r="BI30" s="319">
        <f>IFERROR(BG30/#REF!-1,)</f>
        <v>0</v>
      </c>
      <c r="BJ30" s="320">
        <v>67.488316999999995</v>
      </c>
      <c r="BK30" s="318">
        <f t="shared" si="77"/>
        <v>0.2909893259167089</v>
      </c>
      <c r="BL30" s="319">
        <f t="shared" si="61"/>
        <v>0</v>
      </c>
      <c r="BM30" s="320">
        <v>36.130000000000003</v>
      </c>
      <c r="BN30" s="318">
        <f t="shared" si="78"/>
        <v>-0.46464808123752732</v>
      </c>
      <c r="BO30" s="321">
        <f t="shared" si="62"/>
        <v>-1.6683449908826198E-2</v>
      </c>
      <c r="BP30" s="317">
        <v>33.728000000000002</v>
      </c>
      <c r="BQ30" s="318">
        <f t="shared" si="35"/>
        <v>-6.6482147799612479E-2</v>
      </c>
      <c r="BR30" s="319">
        <f t="shared" si="36"/>
        <v>-0.36334755960594289</v>
      </c>
      <c r="BS30" s="320">
        <v>51.594000000000001</v>
      </c>
      <c r="BT30" s="318">
        <f>BS30/BP30-1</f>
        <v>0.52970825426944979</v>
      </c>
      <c r="BU30" s="319">
        <f t="shared" si="38"/>
        <v>-1.3054314551262491E-2</v>
      </c>
      <c r="BV30" s="320">
        <v>38.889000000000003</v>
      </c>
      <c r="BW30" s="318">
        <f>BV30/BS30-1</f>
        <v>-0.2462495639027793</v>
      </c>
      <c r="BX30" s="319">
        <f t="shared" si="40"/>
        <v>-0.42376693139347354</v>
      </c>
      <c r="BY30" s="320">
        <v>69.263000000000005</v>
      </c>
      <c r="BZ30" s="318">
        <f>BY30/BV30-1</f>
        <v>0.78104348273290647</v>
      </c>
      <c r="CA30" s="321">
        <f t="shared" si="42"/>
        <v>0.91704954331580413</v>
      </c>
      <c r="CB30" s="317">
        <v>47</v>
      </c>
      <c r="CC30" s="318">
        <f t="shared" si="43"/>
        <v>-0.32142702452969119</v>
      </c>
      <c r="CD30" s="319">
        <f t="shared" si="44"/>
        <v>0.39350094876660324</v>
      </c>
      <c r="CE30" s="1045"/>
      <c r="CF30" s="1046"/>
      <c r="CG30" s="1047"/>
      <c r="CH30" s="1045"/>
      <c r="CI30" s="1046"/>
      <c r="CJ30" s="1047"/>
      <c r="CK30" s="1045"/>
      <c r="CL30" s="1046"/>
      <c r="CM30" s="1048"/>
      <c r="CN30" s="1045"/>
      <c r="CO30" s="1046"/>
      <c r="CP30" s="1047"/>
      <c r="CQ30" s="1045"/>
      <c r="CR30" s="1046"/>
      <c r="CS30" s="1047"/>
      <c r="CT30" s="1045"/>
      <c r="CU30" s="1046"/>
      <c r="CV30" s="1047"/>
      <c r="CW30" s="1045"/>
      <c r="CX30" s="1046"/>
      <c r="CY30" s="1048"/>
    </row>
    <row r="31" spans="1:103" s="4" customFormat="1" ht="16.2" customHeight="1" outlineLevel="1">
      <c r="A31" s="141">
        <f t="shared" si="59"/>
        <v>31</v>
      </c>
      <c r="B31" s="102" t="s">
        <v>164</v>
      </c>
      <c r="C31" s="103" t="s">
        <v>68</v>
      </c>
      <c r="D31" s="476">
        <v>87.614999999999995</v>
      </c>
      <c r="E31" s="477">
        <v>28.887</v>
      </c>
      <c r="F31" s="477">
        <v>137.23400000000001</v>
      </c>
      <c r="G31" s="316">
        <v>292.13799999999998</v>
      </c>
      <c r="H31" s="317">
        <v>137.71100000000001</v>
      </c>
      <c r="I31" s="318">
        <f t="shared" si="63"/>
        <v>-0.52860976661714654</v>
      </c>
      <c r="J31" s="319">
        <f t="shared" si="1"/>
        <v>0.57177423957085005</v>
      </c>
      <c r="K31" s="320">
        <v>228.518</v>
      </c>
      <c r="L31" s="318">
        <f>K31/H31-1</f>
        <v>0.65940266209670972</v>
      </c>
      <c r="M31" s="319">
        <f t="shared" si="3"/>
        <v>6.9107557032575206</v>
      </c>
      <c r="N31" s="320">
        <v>187.858</v>
      </c>
      <c r="O31" s="318">
        <f>N31/K31-1</f>
        <v>-0.17792909092500375</v>
      </c>
      <c r="P31" s="319">
        <f t="shared" si="5"/>
        <v>0.3688881763994345</v>
      </c>
      <c r="Q31" s="320">
        <v>117.76</v>
      </c>
      <c r="R31" s="318">
        <f>Q31/N31-1</f>
        <v>-0.37314354459219201</v>
      </c>
      <c r="S31" s="321">
        <f t="shared" si="7"/>
        <v>-0.59690283359234331</v>
      </c>
      <c r="T31" s="317">
        <v>71.923000000000002</v>
      </c>
      <c r="U31" s="318">
        <f t="shared" si="65"/>
        <v>-0.38924082880434785</v>
      </c>
      <c r="V31" s="319">
        <f t="shared" si="9"/>
        <v>-0.47772509095134019</v>
      </c>
      <c r="W31" s="320">
        <v>-26.393999999999998</v>
      </c>
      <c r="X31" s="318">
        <f t="shared" si="66"/>
        <v>-1.3669757935569984</v>
      </c>
      <c r="Y31" s="319">
        <f t="shared" si="11"/>
        <v>-1.1155007482999151</v>
      </c>
      <c r="Z31" s="320">
        <v>22.715</v>
      </c>
      <c r="AA31" s="318">
        <f t="shared" si="67"/>
        <v>-1.8606122603622035</v>
      </c>
      <c r="AB31" s="319">
        <f t="shared" si="13"/>
        <v>-0.87908420189717762</v>
      </c>
      <c r="AC31" s="320">
        <v>30.68</v>
      </c>
      <c r="AD31" s="318">
        <f t="shared" si="68"/>
        <v>0.35064935064935066</v>
      </c>
      <c r="AE31" s="321">
        <f t="shared" si="15"/>
        <v>-0.73947010869565211</v>
      </c>
      <c r="AF31" s="317">
        <v>80.766000000000005</v>
      </c>
      <c r="AG31" s="318">
        <f t="shared" si="69"/>
        <v>1.6325293350717081</v>
      </c>
      <c r="AH31" s="319">
        <f t="shared" si="17"/>
        <v>0.1229509336373622</v>
      </c>
      <c r="AI31" s="320">
        <v>39.21</v>
      </c>
      <c r="AJ31" s="318">
        <f t="shared" si="70"/>
        <v>-0.51452343808038037</v>
      </c>
      <c r="AK31" s="319">
        <f t="shared" si="19"/>
        <v>-2.4855649011138894</v>
      </c>
      <c r="AL31" s="320">
        <v>42.076999999999998</v>
      </c>
      <c r="AM31" s="318">
        <f t="shared" si="71"/>
        <v>7.3119102269828984E-2</v>
      </c>
      <c r="AN31" s="319">
        <f t="shared" si="21"/>
        <v>0.85238828967642521</v>
      </c>
      <c r="AO31" s="320">
        <v>144.911</v>
      </c>
      <c r="AP31" s="318">
        <f t="shared" si="82"/>
        <v>2.4439480000950642</v>
      </c>
      <c r="AQ31" s="321">
        <f t="shared" si="23"/>
        <v>3.7233050847457632</v>
      </c>
      <c r="AR31" s="317">
        <v>133.68199999999999</v>
      </c>
      <c r="AS31" s="318">
        <f t="shared" si="83"/>
        <v>-7.7488941488223939E-2</v>
      </c>
      <c r="AT31" s="319">
        <f t="shared" si="25"/>
        <v>0.65517668325780631</v>
      </c>
      <c r="AU31" s="320">
        <v>109.68913000000001</v>
      </c>
      <c r="AV31" s="318">
        <f t="shared" si="72"/>
        <v>-0.17947719214254709</v>
      </c>
      <c r="AW31" s="319">
        <f t="shared" si="27"/>
        <v>1.7974784493751597</v>
      </c>
      <c r="AX31" s="320">
        <v>105.90593200000001</v>
      </c>
      <c r="AY31" s="318">
        <f t="shared" si="73"/>
        <v>-3.4490181479240434E-2</v>
      </c>
      <c r="AZ31" s="319">
        <f t="shared" si="29"/>
        <v>1.5169553913064147</v>
      </c>
      <c r="BA31" s="320">
        <v>395.921401</v>
      </c>
      <c r="BB31" s="318">
        <f t="shared" si="74"/>
        <v>2.7384251620579665</v>
      </c>
      <c r="BC31" s="321">
        <f t="shared" si="31"/>
        <v>1.7321694074293879</v>
      </c>
      <c r="BD31" s="317">
        <v>379.64014199999997</v>
      </c>
      <c r="BE31" s="318">
        <f t="shared" si="75"/>
        <v>12.142248831654376</v>
      </c>
      <c r="BF31" s="319">
        <f>IFERROR(BD31/#REF!-1,)</f>
        <v>0</v>
      </c>
      <c r="BG31" s="320">
        <v>302.40014600000001</v>
      </c>
      <c r="BH31" s="318">
        <f t="shared" si="76"/>
        <v>-0.20345581895815423</v>
      </c>
      <c r="BI31" s="319">
        <f>IFERROR(BG31/#REF!-1,)</f>
        <v>0</v>
      </c>
      <c r="BJ31" s="320">
        <v>248.01011799999998</v>
      </c>
      <c r="BK31" s="318">
        <f t="shared" si="77"/>
        <v>-0.17986111686599526</v>
      </c>
      <c r="BL31" s="319">
        <f t="shared" si="61"/>
        <v>0</v>
      </c>
      <c r="BM31" s="320">
        <v>472.77800000000002</v>
      </c>
      <c r="BN31" s="318">
        <f t="shared" si="78"/>
        <v>0.90628512986716148</v>
      </c>
      <c r="BO31" s="321">
        <f t="shared" si="62"/>
        <v>15.366462422543012</v>
      </c>
      <c r="BP31" s="317">
        <v>713.29899999999998</v>
      </c>
      <c r="BQ31" s="318">
        <f>BP31/BM31-1</f>
        <v>0.50873983137963252</v>
      </c>
      <c r="BR31" s="319">
        <f t="shared" ref="BR31:BR36" si="84">IFERROR(BP31/BD31-1,)</f>
        <v>0.87888192287105404</v>
      </c>
      <c r="BS31" s="320">
        <v>428.98899999999998</v>
      </c>
      <c r="BT31" s="318">
        <f>BS31/BP31-1</f>
        <v>-0.39858460477303348</v>
      </c>
      <c r="BU31" s="319">
        <f t="shared" si="38"/>
        <v>0.4186137330767028</v>
      </c>
      <c r="BV31" s="320">
        <v>492.84800000000001</v>
      </c>
      <c r="BW31" s="318">
        <f>BV31/BS31-1</f>
        <v>0.14885929476047188</v>
      </c>
      <c r="BX31" s="319">
        <f t="shared" si="40"/>
        <v>0.98720924764851747</v>
      </c>
      <c r="BY31" s="320">
        <v>335.04</v>
      </c>
      <c r="BZ31" s="318">
        <f>BY31/BV31-1</f>
        <v>-0.32019608479693529</v>
      </c>
      <c r="CA31" s="321">
        <f t="shared" si="42"/>
        <v>-0.29133758339009008</v>
      </c>
      <c r="CB31" s="317">
        <v>324</v>
      </c>
      <c r="CC31" s="318">
        <f t="shared" si="43"/>
        <v>-3.2951289398280847E-2</v>
      </c>
      <c r="CD31" s="319">
        <f t="shared" si="44"/>
        <v>-0.54577253017318128</v>
      </c>
      <c r="CE31" s="1045"/>
      <c r="CF31" s="1046"/>
      <c r="CG31" s="1047"/>
      <c r="CH31" s="1045"/>
      <c r="CI31" s="1046"/>
      <c r="CJ31" s="1047"/>
      <c r="CK31" s="1045"/>
      <c r="CL31" s="1046"/>
      <c r="CM31" s="1048"/>
      <c r="CN31" s="1045"/>
      <c r="CO31" s="1046"/>
      <c r="CP31" s="1047"/>
      <c r="CQ31" s="1045"/>
      <c r="CR31" s="1046"/>
      <c r="CS31" s="1047"/>
      <c r="CT31" s="1045"/>
      <c r="CU31" s="1046"/>
      <c r="CV31" s="1047"/>
      <c r="CW31" s="1045"/>
      <c r="CX31" s="1046"/>
      <c r="CY31" s="1048"/>
    </row>
    <row r="32" spans="1:103" s="4" customFormat="1" ht="16.2" customHeight="1" outlineLevel="1">
      <c r="A32" s="141">
        <f t="shared" si="59"/>
        <v>32</v>
      </c>
      <c r="B32" s="102" t="s">
        <v>220</v>
      </c>
      <c r="C32" s="103" t="s">
        <v>236</v>
      </c>
      <c r="D32" s="476"/>
      <c r="E32" s="477"/>
      <c r="F32" s="477"/>
      <c r="G32" s="316"/>
      <c r="H32" s="317"/>
      <c r="I32" s="318"/>
      <c r="J32" s="319"/>
      <c r="K32" s="320"/>
      <c r="L32" s="318"/>
      <c r="M32" s="319"/>
      <c r="N32" s="320"/>
      <c r="O32" s="318"/>
      <c r="P32" s="319"/>
      <c r="Q32" s="320"/>
      <c r="R32" s="318"/>
      <c r="S32" s="321"/>
      <c r="T32" s="317"/>
      <c r="U32" s="318"/>
      <c r="V32" s="319"/>
      <c r="W32" s="320"/>
      <c r="X32" s="318"/>
      <c r="Y32" s="319"/>
      <c r="Z32" s="320"/>
      <c r="AA32" s="318"/>
      <c r="AB32" s="319"/>
      <c r="AC32" s="320"/>
      <c r="AD32" s="318"/>
      <c r="AE32" s="321"/>
      <c r="AF32" s="317"/>
      <c r="AG32" s="318"/>
      <c r="AH32" s="319"/>
      <c r="AI32" s="320"/>
      <c r="AJ32" s="318"/>
      <c r="AK32" s="319"/>
      <c r="AL32" s="320"/>
      <c r="AM32" s="318"/>
      <c r="AN32" s="319"/>
      <c r="AO32" s="320"/>
      <c r="AP32" s="318"/>
      <c r="AQ32" s="321"/>
      <c r="AR32" s="317"/>
      <c r="AS32" s="318"/>
      <c r="AT32" s="319"/>
      <c r="AU32" s="320"/>
      <c r="AV32" s="318"/>
      <c r="AW32" s="319"/>
      <c r="AX32" s="320"/>
      <c r="AY32" s="318"/>
      <c r="AZ32" s="319"/>
      <c r="BA32" s="320"/>
      <c r="BB32" s="318"/>
      <c r="BC32" s="321"/>
      <c r="BD32" s="317">
        <v>0</v>
      </c>
      <c r="BE32" s="318">
        <v>0</v>
      </c>
      <c r="BF32" s="319">
        <v>0</v>
      </c>
      <c r="BG32" s="320">
        <v>0</v>
      </c>
      <c r="BH32" s="318">
        <v>0</v>
      </c>
      <c r="BI32" s="319">
        <v>0</v>
      </c>
      <c r="BJ32" s="320">
        <v>0</v>
      </c>
      <c r="BK32" s="318">
        <v>0</v>
      </c>
      <c r="BL32" s="319">
        <v>0</v>
      </c>
      <c r="BM32" s="320">
        <v>0</v>
      </c>
      <c r="BN32" s="318">
        <v>0</v>
      </c>
      <c r="BO32" s="321">
        <v>0</v>
      </c>
      <c r="BP32" s="317">
        <v>0</v>
      </c>
      <c r="BQ32" s="318">
        <v>0</v>
      </c>
      <c r="BR32" s="319">
        <f t="shared" si="84"/>
        <v>0</v>
      </c>
      <c r="BS32" s="320">
        <v>58.679000000000002</v>
      </c>
      <c r="BT32" s="318">
        <v>0</v>
      </c>
      <c r="BU32" s="319"/>
      <c r="BV32" s="320">
        <v>92.209000000000003</v>
      </c>
      <c r="BW32" s="318">
        <f>BV32/BS32-1</f>
        <v>0.57141396410981793</v>
      </c>
      <c r="BX32" s="319">
        <f t="shared" si="40"/>
        <v>0</v>
      </c>
      <c r="BY32" s="320">
        <v>113.511</v>
      </c>
      <c r="BZ32" s="318">
        <f>BY32/BV32-1</f>
        <v>0.23101866412172334</v>
      </c>
      <c r="CA32" s="321">
        <f t="shared" si="42"/>
        <v>0</v>
      </c>
      <c r="CB32" s="317">
        <v>89</v>
      </c>
      <c r="CC32" s="318">
        <f t="shared" si="43"/>
        <v>-0.21593501951352734</v>
      </c>
      <c r="CD32" s="319">
        <f t="shared" si="44"/>
        <v>0</v>
      </c>
      <c r="CE32" s="1045"/>
      <c r="CF32" s="1046"/>
      <c r="CG32" s="1047"/>
      <c r="CH32" s="1045"/>
      <c r="CI32" s="1046"/>
      <c r="CJ32" s="1047"/>
      <c r="CK32" s="1045"/>
      <c r="CL32" s="1046"/>
      <c r="CM32" s="1048"/>
      <c r="CN32" s="1045"/>
      <c r="CO32" s="1046"/>
      <c r="CP32" s="1047"/>
      <c r="CQ32" s="1045"/>
      <c r="CR32" s="1046"/>
      <c r="CS32" s="1047"/>
      <c r="CT32" s="1045"/>
      <c r="CU32" s="1046"/>
      <c r="CV32" s="1047"/>
      <c r="CW32" s="1045"/>
      <c r="CX32" s="1046"/>
      <c r="CY32" s="1048"/>
    </row>
    <row r="33" spans="1:103" s="4" customFormat="1" ht="16.2" customHeight="1" outlineLevel="1">
      <c r="A33" s="141">
        <f t="shared" si="59"/>
        <v>33</v>
      </c>
      <c r="B33" s="102" t="s">
        <v>58</v>
      </c>
      <c r="C33" s="103" t="s">
        <v>334</v>
      </c>
      <c r="D33" s="476" t="s">
        <v>3</v>
      </c>
      <c r="E33" s="477" t="s">
        <v>3</v>
      </c>
      <c r="F33" s="477" t="s">
        <v>3</v>
      </c>
      <c r="G33" s="316" t="s">
        <v>3</v>
      </c>
      <c r="H33" s="317" t="s">
        <v>3</v>
      </c>
      <c r="I33" s="318" t="s">
        <v>3</v>
      </c>
      <c r="J33" s="319">
        <f>IFERROR(H33/D33-1,)</f>
        <v>0</v>
      </c>
      <c r="K33" s="320" t="s">
        <v>3</v>
      </c>
      <c r="L33" s="318" t="s">
        <v>3</v>
      </c>
      <c r="M33" s="319">
        <f>IFERROR(K33/E33-1,)</f>
        <v>0</v>
      </c>
      <c r="N33" s="320" t="s">
        <v>3</v>
      </c>
      <c r="O33" s="318" t="s">
        <v>3</v>
      </c>
      <c r="P33" s="319">
        <f>IFERROR(N33/F33-1,)</f>
        <v>0</v>
      </c>
      <c r="Q33" s="320" t="s">
        <v>3</v>
      </c>
      <c r="R33" s="318" t="s">
        <v>3</v>
      </c>
      <c r="S33" s="321">
        <f>IFERROR(Q33/G33-1,)</f>
        <v>0</v>
      </c>
      <c r="T33" s="317" t="s">
        <v>3</v>
      </c>
      <c r="U33" s="318" t="s">
        <v>3</v>
      </c>
      <c r="V33" s="319">
        <f>IFERROR(T33/H33-1,)</f>
        <v>0</v>
      </c>
      <c r="W33" s="320" t="s">
        <v>3</v>
      </c>
      <c r="X33" s="318" t="s">
        <v>3</v>
      </c>
      <c r="Y33" s="319">
        <f>IFERROR(W33/K33-1,)</f>
        <v>0</v>
      </c>
      <c r="Z33" s="320" t="s">
        <v>3</v>
      </c>
      <c r="AA33" s="318" t="s">
        <v>3</v>
      </c>
      <c r="AB33" s="319">
        <f>IFERROR(Z33/N33-1,)</f>
        <v>0</v>
      </c>
      <c r="AC33" s="320" t="s">
        <v>3</v>
      </c>
      <c r="AD33" s="318" t="s">
        <v>3</v>
      </c>
      <c r="AE33" s="321">
        <f>IFERROR(AC33/Q33-1,)</f>
        <v>0</v>
      </c>
      <c r="AF33" s="317" t="s">
        <v>3</v>
      </c>
      <c r="AG33" s="318" t="s">
        <v>3</v>
      </c>
      <c r="AH33" s="319">
        <f>IFERROR(AF33/T33-1,)</f>
        <v>0</v>
      </c>
      <c r="AI33" s="320" t="s">
        <v>3</v>
      </c>
      <c r="AJ33" s="318" t="s">
        <v>3</v>
      </c>
      <c r="AK33" s="319">
        <f>IFERROR(AI33/W33-1,)</f>
        <v>0</v>
      </c>
      <c r="AL33" s="320" t="s">
        <v>3</v>
      </c>
      <c r="AM33" s="318" t="s">
        <v>3</v>
      </c>
      <c r="AN33" s="319">
        <f>IFERROR(AL33/Z33-1,)</f>
        <v>0</v>
      </c>
      <c r="AO33" s="320" t="s">
        <v>3</v>
      </c>
      <c r="AP33" s="318" t="s">
        <v>3</v>
      </c>
      <c r="AQ33" s="321">
        <f>IFERROR(AO33/AC33-1,)</f>
        <v>0</v>
      </c>
      <c r="AR33" s="317">
        <v>0</v>
      </c>
      <c r="AS33" s="318" t="s">
        <v>3</v>
      </c>
      <c r="AT33" s="319">
        <f>IFERROR(AR33/AF33-1,)</f>
        <v>0</v>
      </c>
      <c r="AU33" s="320">
        <v>0</v>
      </c>
      <c r="AV33" s="318" t="s">
        <v>3</v>
      </c>
      <c r="AW33" s="319">
        <f>IFERROR(AU33/AI33-1,)</f>
        <v>0</v>
      </c>
      <c r="AX33" s="320">
        <v>0</v>
      </c>
      <c r="AY33" s="318" t="s">
        <v>3</v>
      </c>
      <c r="AZ33" s="319">
        <f>IFERROR(AX33/AL33-1,)</f>
        <v>0</v>
      </c>
      <c r="BA33" s="320">
        <v>0</v>
      </c>
      <c r="BB33" s="318" t="s">
        <v>3</v>
      </c>
      <c r="BC33" s="321">
        <f>IFERROR(BA33/AO33-1,)</f>
        <v>0</v>
      </c>
      <c r="BD33" s="317">
        <v>4.2447929999999996</v>
      </c>
      <c r="BE33" s="318">
        <v>0</v>
      </c>
      <c r="BF33" s="319">
        <f>IFERROR(BD33/#REF!-1,)</f>
        <v>0</v>
      </c>
      <c r="BG33" s="320">
        <v>7.1678649999999999</v>
      </c>
      <c r="BH33" s="318">
        <v>0</v>
      </c>
      <c r="BI33" s="319">
        <f>IFERROR(BG33/#REF!-1,)</f>
        <v>0</v>
      </c>
      <c r="BJ33" s="320">
        <v>10.040430000000001</v>
      </c>
      <c r="BK33" s="318">
        <v>0</v>
      </c>
      <c r="BL33" s="319">
        <f>IFERROR(BJ33/B33-1,)</f>
        <v>0</v>
      </c>
      <c r="BM33" s="320">
        <v>10.085000000000001</v>
      </c>
      <c r="BN33" s="318">
        <v>0</v>
      </c>
      <c r="BO33" s="321">
        <f>IFERROR(BM33/E33-1,)</f>
        <v>0</v>
      </c>
      <c r="BP33" s="317">
        <v>16.366</v>
      </c>
      <c r="BQ33" s="318">
        <f>BP33/BM33-1</f>
        <v>0.62280614774417442</v>
      </c>
      <c r="BR33" s="319">
        <f>IFERROR(BP33/BD33-1,)</f>
        <v>2.8555472551900651</v>
      </c>
      <c r="BS33" s="320">
        <v>18.577000000000002</v>
      </c>
      <c r="BT33" s="318">
        <v>0</v>
      </c>
      <c r="BU33" s="319">
        <f>IFERROR(BS33/BG33-1,)</f>
        <v>1.5917061775019481</v>
      </c>
      <c r="BV33" s="320">
        <v>13.849</v>
      </c>
      <c r="BW33" s="318">
        <v>0</v>
      </c>
      <c r="BX33" s="319">
        <f>IFERROR(BV33/BJ33-1,)</f>
        <v>0.37932339551194505</v>
      </c>
      <c r="BY33" s="320">
        <v>12.119</v>
      </c>
      <c r="BZ33" s="318">
        <v>0</v>
      </c>
      <c r="CA33" s="321">
        <f>IFERROR(BY33/BM33-1,)</f>
        <v>0.20168567178978658</v>
      </c>
      <c r="CB33" s="317">
        <v>0</v>
      </c>
      <c r="CC33" s="318">
        <v>0</v>
      </c>
      <c r="CD33" s="319">
        <f>IFERROR(CB33/BP33-1,)</f>
        <v>-1</v>
      </c>
      <c r="CE33" s="1045"/>
      <c r="CF33" s="1046"/>
      <c r="CG33" s="1047"/>
      <c r="CH33" s="1045"/>
      <c r="CI33" s="1046"/>
      <c r="CJ33" s="1047"/>
      <c r="CK33" s="1045"/>
      <c r="CL33" s="1046"/>
      <c r="CM33" s="1048"/>
      <c r="CN33" s="1045"/>
      <c r="CO33" s="1046"/>
      <c r="CP33" s="1047"/>
      <c r="CQ33" s="1045"/>
      <c r="CR33" s="1046"/>
      <c r="CS33" s="1047"/>
      <c r="CT33" s="1045"/>
      <c r="CU33" s="1046"/>
      <c r="CV33" s="1047"/>
      <c r="CW33" s="1045"/>
      <c r="CX33" s="1046"/>
      <c r="CY33" s="1048"/>
    </row>
    <row r="34" spans="1:103" ht="16.2" customHeight="1" outlineLevel="1">
      <c r="A34" s="141">
        <f>A33+1</f>
        <v>34</v>
      </c>
      <c r="B34" s="102" t="s">
        <v>47</v>
      </c>
      <c r="C34" s="103" t="s">
        <v>264</v>
      </c>
      <c r="D34" s="476">
        <v>1.0960000000000001</v>
      </c>
      <c r="E34" s="477">
        <v>2.9609999999999999</v>
      </c>
      <c r="F34" s="477">
        <v>2.762</v>
      </c>
      <c r="G34" s="316">
        <v>0</v>
      </c>
      <c r="H34" s="317">
        <v>2.15</v>
      </c>
      <c r="I34" s="318" t="s">
        <v>3</v>
      </c>
      <c r="J34" s="319">
        <f>IFERROR(H34/D34-1,)</f>
        <v>0.96167883211678817</v>
      </c>
      <c r="K34" s="320">
        <v>0.33</v>
      </c>
      <c r="L34" s="318" t="s">
        <v>3</v>
      </c>
      <c r="M34" s="319">
        <f>IFERROR(K34/E34-1,)</f>
        <v>-0.88855116514690979</v>
      </c>
      <c r="N34" s="320">
        <v>0</v>
      </c>
      <c r="O34" s="318" t="s">
        <v>3</v>
      </c>
      <c r="P34" s="319">
        <f>IFERROR(N34/F34-1,)</f>
        <v>-1</v>
      </c>
      <c r="Q34" s="320">
        <v>0.1</v>
      </c>
      <c r="R34" s="318" t="s">
        <v>3</v>
      </c>
      <c r="S34" s="321">
        <f>IFERROR(Q34/G34-1,)</f>
        <v>0</v>
      </c>
      <c r="T34" s="317" t="s">
        <v>3</v>
      </c>
      <c r="U34" s="318" t="s">
        <v>3</v>
      </c>
      <c r="V34" s="319">
        <f>IFERROR(T34/H34-1,)</f>
        <v>0</v>
      </c>
      <c r="W34" s="320">
        <v>0</v>
      </c>
      <c r="X34" s="318" t="s">
        <v>3</v>
      </c>
      <c r="Y34" s="319">
        <f>IFERROR(W34/K34-1,)</f>
        <v>-1</v>
      </c>
      <c r="Z34" s="320">
        <v>0.06</v>
      </c>
      <c r="AA34" s="318" t="s">
        <v>3</v>
      </c>
      <c r="AB34" s="319">
        <f>IFERROR(Z34/N34-1,)</f>
        <v>0</v>
      </c>
      <c r="AC34" s="320">
        <v>0</v>
      </c>
      <c r="AD34" s="318" t="s">
        <v>3</v>
      </c>
      <c r="AE34" s="321">
        <f>IFERROR(AC34/Q34-1,)</f>
        <v>-1</v>
      </c>
      <c r="AF34" s="317">
        <v>0</v>
      </c>
      <c r="AG34" s="318" t="s">
        <v>3</v>
      </c>
      <c r="AH34" s="319">
        <f>IFERROR(AF34/T34-1,)</f>
        <v>0</v>
      </c>
      <c r="AI34" s="320">
        <v>0</v>
      </c>
      <c r="AJ34" s="318" t="s">
        <v>3</v>
      </c>
      <c r="AK34" s="319">
        <f>IFERROR(AI34/W34-1,)</f>
        <v>0</v>
      </c>
      <c r="AL34" s="320">
        <v>3.5390000000000001</v>
      </c>
      <c r="AM34" s="318" t="s">
        <v>3</v>
      </c>
      <c r="AN34" s="319">
        <f>IFERROR(AL34/Z34-1,)</f>
        <v>57.983333333333341</v>
      </c>
      <c r="AO34" s="320">
        <v>10.510999999999999</v>
      </c>
      <c r="AP34" s="318">
        <f>AO34/AL34-1</f>
        <v>1.970048036168409</v>
      </c>
      <c r="AQ34" s="321">
        <f>IFERROR(AO34/AC34-1,)</f>
        <v>0</v>
      </c>
      <c r="AR34" s="317">
        <v>2.2970000000000002</v>
      </c>
      <c r="AS34" s="318" t="s">
        <v>3</v>
      </c>
      <c r="AT34" s="319">
        <f>IFERROR(AR34/AF34-1,)</f>
        <v>0</v>
      </c>
      <c r="AU34" s="320">
        <v>0</v>
      </c>
      <c r="AV34" s="318" t="s">
        <v>3</v>
      </c>
      <c r="AW34" s="319">
        <f>IFERROR(AU34/AI34-1,)</f>
        <v>0</v>
      </c>
      <c r="AX34" s="320">
        <v>0</v>
      </c>
      <c r="AY34" s="318" t="s">
        <v>3</v>
      </c>
      <c r="AZ34" s="319">
        <f>IFERROR(AX34/AL34-1,)</f>
        <v>-1</v>
      </c>
      <c r="BA34" s="320">
        <v>0</v>
      </c>
      <c r="BB34" s="318" t="s">
        <v>3</v>
      </c>
      <c r="BC34" s="321">
        <f>IFERROR(BA34/AO34-1,)</f>
        <v>-1</v>
      </c>
      <c r="BD34" s="317">
        <v>1.76</v>
      </c>
      <c r="BE34" s="318">
        <v>0</v>
      </c>
      <c r="BF34" s="319">
        <f>IFERROR(BD34/#REF!-1,)</f>
        <v>0</v>
      </c>
      <c r="BG34" s="320">
        <v>0</v>
      </c>
      <c r="BH34" s="318">
        <v>0</v>
      </c>
      <c r="BI34" s="319">
        <f>IFERROR(BG34/#REF!-1,)</f>
        <v>0</v>
      </c>
      <c r="BJ34" s="320">
        <v>0</v>
      </c>
      <c r="BK34" s="318">
        <v>0</v>
      </c>
      <c r="BL34" s="319">
        <v>0</v>
      </c>
      <c r="BM34" s="320">
        <v>0</v>
      </c>
      <c r="BN34" s="318">
        <v>0</v>
      </c>
      <c r="BO34" s="321">
        <v>0</v>
      </c>
      <c r="BP34" s="317">
        <v>0</v>
      </c>
      <c r="BQ34" s="318">
        <v>0</v>
      </c>
      <c r="BR34" s="319">
        <f>IFERROR(BP34/BD34-1,)</f>
        <v>-1</v>
      </c>
      <c r="BS34" s="320">
        <v>0.6</v>
      </c>
      <c r="BT34" s="318">
        <v>0</v>
      </c>
      <c r="BU34" s="319">
        <v>0</v>
      </c>
      <c r="BV34" s="320">
        <v>0</v>
      </c>
      <c r="BW34" s="318">
        <v>0</v>
      </c>
      <c r="BX34" s="319">
        <v>0</v>
      </c>
      <c r="BY34" s="320">
        <v>0</v>
      </c>
      <c r="BZ34" s="318">
        <v>0</v>
      </c>
      <c r="CA34" s="321">
        <v>0</v>
      </c>
      <c r="CB34" s="317">
        <v>0</v>
      </c>
      <c r="CC34" s="318">
        <v>0</v>
      </c>
      <c r="CD34" s="319">
        <v>0</v>
      </c>
      <c r="CE34" s="1045"/>
      <c r="CF34" s="1046"/>
      <c r="CG34" s="1047"/>
      <c r="CH34" s="1045"/>
      <c r="CI34" s="1046"/>
      <c r="CJ34" s="1047"/>
      <c r="CK34" s="1045"/>
      <c r="CL34" s="1046"/>
      <c r="CM34" s="1048"/>
      <c r="CN34" s="1045"/>
      <c r="CO34" s="1046"/>
      <c r="CP34" s="1047"/>
      <c r="CQ34" s="1045"/>
      <c r="CR34" s="1046"/>
      <c r="CS34" s="1047"/>
      <c r="CT34" s="1045"/>
      <c r="CU34" s="1046"/>
      <c r="CV34" s="1047"/>
      <c r="CW34" s="1045"/>
      <c r="CX34" s="1046"/>
      <c r="CY34" s="1048"/>
    </row>
    <row r="35" spans="1:103" ht="16.2" customHeight="1" outlineLevel="1">
      <c r="A35" s="141">
        <f>A29+1</f>
        <v>29</v>
      </c>
      <c r="B35" s="102" t="s">
        <v>452</v>
      </c>
      <c r="C35" s="103" t="s">
        <v>451</v>
      </c>
      <c r="D35" s="476">
        <v>0</v>
      </c>
      <c r="E35" s="477">
        <v>0</v>
      </c>
      <c r="F35" s="477">
        <v>0</v>
      </c>
      <c r="G35" s="316">
        <v>44.683999999999997</v>
      </c>
      <c r="H35" s="317">
        <v>0</v>
      </c>
      <c r="I35" s="318">
        <f>H35/G35-1</f>
        <v>-1</v>
      </c>
      <c r="J35" s="319">
        <f>IFERROR(H35/D35-1,)</f>
        <v>0</v>
      </c>
      <c r="K35" s="320">
        <v>113.43899999999999</v>
      </c>
      <c r="L35" s="318">
        <v>0</v>
      </c>
      <c r="M35" s="319">
        <f>IFERROR(K35/E35-1,)</f>
        <v>0</v>
      </c>
      <c r="N35" s="320">
        <v>98.393000000000001</v>
      </c>
      <c r="O35" s="318">
        <v>0</v>
      </c>
      <c r="P35" s="319">
        <f>IFERROR(N35/F35-1,)</f>
        <v>0</v>
      </c>
      <c r="Q35" s="320">
        <v>-25.997</v>
      </c>
      <c r="R35" s="318">
        <v>0</v>
      </c>
      <c r="S35" s="321">
        <f>IFERROR(Q35/G35-1,)</f>
        <v>-1.5817966162384747</v>
      </c>
      <c r="T35" s="317">
        <v>76.081000000000003</v>
      </c>
      <c r="U35" s="318">
        <f>T35/Q35-1</f>
        <v>-3.9265299842289498</v>
      </c>
      <c r="V35" s="319">
        <f>IFERROR(T35/H35-1,)</f>
        <v>0</v>
      </c>
      <c r="W35" s="320">
        <v>160.614</v>
      </c>
      <c r="X35" s="318">
        <f>W35/T35-1</f>
        <v>1.1110921254978248</v>
      </c>
      <c r="Y35" s="319">
        <f>IFERROR(W35/K35-1,)</f>
        <v>0.41586226958982375</v>
      </c>
      <c r="Z35" s="320">
        <v>59.345999999999997</v>
      </c>
      <c r="AA35" s="318">
        <f>Z35/W35-1</f>
        <v>-0.63050543539168447</v>
      </c>
      <c r="AB35" s="319">
        <f>IFERROR(Z35/N35-1,)</f>
        <v>-0.39684733670078165</v>
      </c>
      <c r="AC35" s="320">
        <v>-97.513999999999996</v>
      </c>
      <c r="AD35" s="318">
        <f>AC35/Z35-1</f>
        <v>-2.6431435985576113</v>
      </c>
      <c r="AE35" s="321">
        <f>IFERROR(AC35/Q35-1,)</f>
        <v>2.7509712659152976</v>
      </c>
      <c r="AF35" s="317">
        <v>93.861000000000004</v>
      </c>
      <c r="AG35" s="318">
        <f>AF35/AC35-1</f>
        <v>-1.9625387123900158</v>
      </c>
      <c r="AH35" s="319">
        <f>IFERROR(AF35/T35-1,)</f>
        <v>0.23369829523797003</v>
      </c>
      <c r="AI35" s="320">
        <v>-10.346</v>
      </c>
      <c r="AJ35" s="318">
        <f>AI35/AF35-1</f>
        <v>-1.1102268247728024</v>
      </c>
      <c r="AK35" s="319">
        <f>IFERROR(AI35/W35-1,)</f>
        <v>-1.0644153062622188</v>
      </c>
      <c r="AL35" s="320">
        <v>-115.101</v>
      </c>
      <c r="AM35" s="318">
        <f>AL35/AI35-1</f>
        <v>10.125169147496617</v>
      </c>
      <c r="AN35" s="319">
        <f>IFERROR(AL35/Z35-1,)</f>
        <v>-2.9394904458598727</v>
      </c>
      <c r="AO35" s="320">
        <v>-69.614000000000004</v>
      </c>
      <c r="AP35" s="318">
        <f>AO35/AL35-1</f>
        <v>-0.3951920487224263</v>
      </c>
      <c r="AQ35" s="321">
        <f>IFERROR(AO35/AC35-1,)</f>
        <v>-0.28611276329552671</v>
      </c>
      <c r="AR35" s="317">
        <v>33.86</v>
      </c>
      <c r="AS35" s="318">
        <f>AR35/AO35-1</f>
        <v>-1.4863964145143218</v>
      </c>
      <c r="AT35" s="319">
        <f>IFERROR(AR35/AF35-1,)</f>
        <v>-0.63925379017909467</v>
      </c>
      <c r="AU35" s="320">
        <v>-37.278754999999997</v>
      </c>
      <c r="AV35" s="318">
        <f>AU35/AR35-1</f>
        <v>-2.1009673656231538</v>
      </c>
      <c r="AW35" s="319">
        <f>IFERROR(AU35/AI35-1,)</f>
        <v>2.6032046201430501</v>
      </c>
      <c r="AX35" s="320">
        <v>60.164999999999999</v>
      </c>
      <c r="AY35" s="318">
        <f>AX35/AU35-1</f>
        <v>-2.6139219241629719</v>
      </c>
      <c r="AZ35" s="319">
        <f>IFERROR(AX35/AL35-1,)</f>
        <v>-1.5227148330596605</v>
      </c>
      <c r="BA35" s="320">
        <v>-37.021383</v>
      </c>
      <c r="BB35" s="318">
        <f>BA35/AX35-1</f>
        <v>-1.615330890052356</v>
      </c>
      <c r="BC35" s="321">
        <f>IFERROR(BA35/AO35-1,)</f>
        <v>-0.46819055075128568</v>
      </c>
      <c r="BD35" s="317">
        <v>98.425214999999994</v>
      </c>
      <c r="BE35" s="318" t="e">
        <f>BD35/E35-1</f>
        <v>#DIV/0!</v>
      </c>
      <c r="BF35" s="319">
        <f>IFERROR(BD35/#REF!-1,)</f>
        <v>0</v>
      </c>
      <c r="BG35" s="320">
        <v>55.146087000000001</v>
      </c>
      <c r="BH35" s="318">
        <f>BG35/BD35-1</f>
        <v>-0.43971585939639546</v>
      </c>
      <c r="BI35" s="319">
        <f>IFERROR(BG35/#REF!-1,)</f>
        <v>0</v>
      </c>
      <c r="BJ35" s="320">
        <v>114.90418099999999</v>
      </c>
      <c r="BK35" s="318">
        <f>BJ35/BG35-1</f>
        <v>1.0836325340726352</v>
      </c>
      <c r="BL35" s="319">
        <f>IFERROR(BJ35/B35-1,)</f>
        <v>0</v>
      </c>
      <c r="BM35" s="320">
        <v>181.214</v>
      </c>
      <c r="BN35" s="318">
        <f>BM35/BJ35-1</f>
        <v>0.57708795644259459</v>
      </c>
      <c r="BO35" s="321">
        <f>IFERROR(BM35/E35-1,)</f>
        <v>0</v>
      </c>
      <c r="BP35" s="317">
        <v>-21.588000000000001</v>
      </c>
      <c r="BQ35" s="318">
        <f>BP35/BM35-1</f>
        <v>-1.1191298685532023</v>
      </c>
      <c r="BR35" s="319">
        <f>IFERROR(BP35/BD35-1,)</f>
        <v>-1.2193340395548031</v>
      </c>
      <c r="BS35" s="320">
        <v>399.49</v>
      </c>
      <c r="BT35" s="318">
        <v>0</v>
      </c>
      <c r="BU35" s="319">
        <f>IFERROR(BS35/BG35-1,)</f>
        <v>6.2442129937523942</v>
      </c>
      <c r="BV35" s="320">
        <v>-231.911</v>
      </c>
      <c r="BW35" s="318">
        <v>0</v>
      </c>
      <c r="BX35" s="319">
        <f>IFERROR(BV35/BJ35-1,)</f>
        <v>-3.0182990556279239</v>
      </c>
      <c r="BY35" s="320">
        <v>-109.55800000000001</v>
      </c>
      <c r="BZ35" s="318">
        <v>0</v>
      </c>
      <c r="CA35" s="321">
        <f>IFERROR(BY35/BM35-1,)</f>
        <v>-1.6045780127363227</v>
      </c>
      <c r="CB35" s="416">
        <v>683</v>
      </c>
      <c r="CC35" s="318">
        <f>CB35/BY35-1</f>
        <v>-7.234140820387374</v>
      </c>
      <c r="CD35" s="319">
        <f>IFERROR(CB35/BP35-1,)</f>
        <v>-32.637947007596807</v>
      </c>
      <c r="CE35" s="1045"/>
      <c r="CF35" s="1046"/>
      <c r="CG35" s="1047"/>
      <c r="CH35" s="1045"/>
      <c r="CI35" s="1046"/>
      <c r="CJ35" s="1047"/>
      <c r="CK35" s="1045"/>
      <c r="CL35" s="1046"/>
      <c r="CM35" s="1048"/>
      <c r="CN35" s="1045"/>
      <c r="CO35" s="1046"/>
      <c r="CP35" s="1047"/>
      <c r="CQ35" s="1045"/>
      <c r="CR35" s="1046"/>
      <c r="CS35" s="1047"/>
      <c r="CT35" s="1045"/>
      <c r="CU35" s="1046"/>
      <c r="CV35" s="1047"/>
      <c r="CW35" s="1045"/>
      <c r="CX35" s="1046"/>
      <c r="CY35" s="1048"/>
    </row>
    <row r="36" spans="1:103" s="4" customFormat="1" ht="16.2" customHeight="1" thickBot="1">
      <c r="A36" s="141">
        <f>A34+1</f>
        <v>35</v>
      </c>
      <c r="B36" s="644" t="s">
        <v>165</v>
      </c>
      <c r="C36" s="645" t="s">
        <v>7</v>
      </c>
      <c r="D36" s="646">
        <f>SUM(D3:D11)</f>
        <v>3760.3820000000001</v>
      </c>
      <c r="E36" s="647">
        <f>SUM(E3:E11)</f>
        <v>4232.9439999999995</v>
      </c>
      <c r="F36" s="647">
        <f>SUM(F3:F11)</f>
        <v>4415.6090000000004</v>
      </c>
      <c r="G36" s="648">
        <f>SUM(G3:G11)</f>
        <v>4862.1869999999999</v>
      </c>
      <c r="H36" s="649">
        <f>SUM(H3:H11)</f>
        <v>4830.2240000000002</v>
      </c>
      <c r="I36" s="650">
        <f>H36/G36-1</f>
        <v>-6.5737907653489192E-3</v>
      </c>
      <c r="J36" s="651">
        <f t="shared" si="1"/>
        <v>0.28450354245925014</v>
      </c>
      <c r="K36" s="652">
        <f>SUM(K3:K11)</f>
        <v>6707.0320000000002</v>
      </c>
      <c r="L36" s="650">
        <f>K36/H36-1</f>
        <v>0.3885550649410876</v>
      </c>
      <c r="M36" s="651">
        <f t="shared" si="3"/>
        <v>0.58448399033863918</v>
      </c>
      <c r="N36" s="652">
        <f>SUM(N3:N11)</f>
        <v>5285.7719999999999</v>
      </c>
      <c r="O36" s="650">
        <f>N36/K36-1</f>
        <v>-0.21190595184278238</v>
      </c>
      <c r="P36" s="651">
        <f t="shared" si="5"/>
        <v>0.19706522928094383</v>
      </c>
      <c r="Q36" s="652">
        <f>SUM(Q3:Q11)</f>
        <v>5372.558</v>
      </c>
      <c r="R36" s="650">
        <f>Q36/N36-1</f>
        <v>1.641879369749577E-2</v>
      </c>
      <c r="S36" s="653">
        <f t="shared" si="7"/>
        <v>0.10496737373531717</v>
      </c>
      <c r="T36" s="649">
        <f>SUM(T3:T11)</f>
        <v>4085.2219999999998</v>
      </c>
      <c r="U36" s="650">
        <f>T36/Q36-1</f>
        <v>-0.23961323451510441</v>
      </c>
      <c r="V36" s="651">
        <f t="shared" si="9"/>
        <v>-0.15423756745028805</v>
      </c>
      <c r="W36" s="652">
        <f>SUM(W3:W11)</f>
        <v>5035.0410000000002</v>
      </c>
      <c r="X36" s="650">
        <f>IFERROR(W36/T36-1,)</f>
        <v>0.23250119577344885</v>
      </c>
      <c r="Y36" s="651">
        <f t="shared" si="11"/>
        <v>-0.24928925342834207</v>
      </c>
      <c r="Z36" s="652">
        <f>SUM(Z3:Z11)</f>
        <v>4124.8319999999994</v>
      </c>
      <c r="AA36" s="650">
        <f>Z36/W36-1</f>
        <v>-0.18077489339212938</v>
      </c>
      <c r="AB36" s="651">
        <f t="shared" si="13"/>
        <v>-0.21963489912164214</v>
      </c>
      <c r="AC36" s="652">
        <f>SUM(AC3:AC11)</f>
        <v>7105.5919999999987</v>
      </c>
      <c r="AD36" s="650">
        <f>AC36/Z36-1</f>
        <v>0.72263791591996962</v>
      </c>
      <c r="AE36" s="653">
        <f t="shared" si="15"/>
        <v>0.32257148270898117</v>
      </c>
      <c r="AF36" s="649">
        <f>SUM(AF3:AF11)</f>
        <v>5831.9049999999997</v>
      </c>
      <c r="AG36" s="650">
        <f>AF36/AC36-1</f>
        <v>-0.17925135583354623</v>
      </c>
      <c r="AH36" s="651">
        <f t="shared" si="17"/>
        <v>0.42756134183160666</v>
      </c>
      <c r="AI36" s="652">
        <f>SUM(AI3:AI11)</f>
        <v>6960.610999999999</v>
      </c>
      <c r="AJ36" s="650">
        <f>IFERROR(AI36/AF36-1,)</f>
        <v>0.19353984675676283</v>
      </c>
      <c r="AK36" s="651">
        <f t="shared" si="19"/>
        <v>0.38243382725185326</v>
      </c>
      <c r="AL36" s="652">
        <f>SUM(AL3:AL11)</f>
        <v>5832.5299999999988</v>
      </c>
      <c r="AM36" s="650">
        <f>AL36/AI36-1</f>
        <v>-0.16206637606957208</v>
      </c>
      <c r="AN36" s="651">
        <f t="shared" si="21"/>
        <v>0.41400425520360584</v>
      </c>
      <c r="AO36" s="652">
        <f>SUM(AO3:AO11)</f>
        <v>7514.896999999999</v>
      </c>
      <c r="AP36" s="650">
        <f t="shared" si="82"/>
        <v>0.28844549449381329</v>
      </c>
      <c r="AQ36" s="653">
        <f t="shared" si="23"/>
        <v>5.760322292639386E-2</v>
      </c>
      <c r="AR36" s="649">
        <f>SUM(AR3:AR11)</f>
        <v>9876.7240000000002</v>
      </c>
      <c r="AS36" s="650">
        <f>AR36/AO36-1</f>
        <v>0.31428601083953667</v>
      </c>
      <c r="AT36" s="651">
        <f t="shared" si="25"/>
        <v>0.69356736778119688</v>
      </c>
      <c r="AU36" s="652">
        <f>SUM(AU3:AU11)</f>
        <v>9144.9521889999996</v>
      </c>
      <c r="AV36" s="650">
        <f>IFERROR(AU36/AR36-1,)</f>
        <v>-7.4090539636421981E-2</v>
      </c>
      <c r="AW36" s="651">
        <f t="shared" si="27"/>
        <v>0.31381457590432804</v>
      </c>
      <c r="AX36" s="652">
        <f>SUM(AX3:AX11)</f>
        <v>8471.9285869999985</v>
      </c>
      <c r="AY36" s="650">
        <f>AX36/AU36-1</f>
        <v>-7.359509247183893E-2</v>
      </c>
      <c r="AZ36" s="651">
        <f t="shared" si="29"/>
        <v>0.45253064913510954</v>
      </c>
      <c r="BA36" s="652">
        <f>SUM(BA3:BA11)</f>
        <v>11797.211579999999</v>
      </c>
      <c r="BB36" s="650">
        <f>BA36/AX36-1</f>
        <v>0.39250602254870048</v>
      </c>
      <c r="BC36" s="653">
        <f t="shared" si="31"/>
        <v>0.56984341635021751</v>
      </c>
      <c r="BD36" s="649">
        <f>SUM(BD3:BD11)</f>
        <v>10318.627559</v>
      </c>
      <c r="BE36" s="650">
        <f>BD36/BA36-1</f>
        <v>-0.12533334771300242</v>
      </c>
      <c r="BF36" s="651">
        <f>IFERROR(BD36/AR36-1,)</f>
        <v>4.47419163479712E-2</v>
      </c>
      <c r="BG36" s="652">
        <f>SUM(BG3:BG11)</f>
        <v>13174.373553000001</v>
      </c>
      <c r="BH36" s="650">
        <f>IFERROR(BG36/BD36-1,)</f>
        <v>0.27675637846907208</v>
      </c>
      <c r="BI36" s="651">
        <f>IFERROR(BG36/AU36-1,)</f>
        <v>0.44061699620986405</v>
      </c>
      <c r="BJ36" s="652">
        <f>SUM(BJ3:BJ11)</f>
        <v>12348.211809999997</v>
      </c>
      <c r="BK36" s="650">
        <f>BJ36/BG36-1</f>
        <v>-6.2709755395684463E-2</v>
      </c>
      <c r="BL36" s="651">
        <f>IFERROR(BJ36/AX36-1,)</f>
        <v>0.45754436940699383</v>
      </c>
      <c r="BM36" s="652">
        <f>SUM(BM3:BM11)</f>
        <v>14985.468999999999</v>
      </c>
      <c r="BN36" s="650">
        <f>BM36/BJ36-1</f>
        <v>0.21357401626883843</v>
      </c>
      <c r="BO36" s="653">
        <f>IFERROR(BM36/BA36-1,)</f>
        <v>0.27025516990854892</v>
      </c>
      <c r="BP36" s="649">
        <f>SUM(BP3:BP11)</f>
        <v>13694.298999999997</v>
      </c>
      <c r="BQ36" s="650">
        <f>BP36/BM36-1</f>
        <v>-8.6161467485602383E-2</v>
      </c>
      <c r="BR36" s="651">
        <f t="shared" si="84"/>
        <v>0.32714345214017393</v>
      </c>
      <c r="BS36" s="652">
        <f>SUM(BS3:BS11)</f>
        <v>16325.518000000002</v>
      </c>
      <c r="BT36" s="650">
        <f>IFERROR(BS36/BP36-1,)</f>
        <v>0.1921397363968762</v>
      </c>
      <c r="BU36" s="651">
        <f>IFERROR(BS36/BG36-1,)</f>
        <v>0.2391874220298269</v>
      </c>
      <c r="BV36" s="652">
        <f>SUM(BV3:BV11)</f>
        <v>17648.23</v>
      </c>
      <c r="BW36" s="650">
        <f>BV36/BS36-1</f>
        <v>8.1021135133353628E-2</v>
      </c>
      <c r="BX36" s="651">
        <f>IFERROR(BV36/BJ36-1,)</f>
        <v>0.42921341742031593</v>
      </c>
      <c r="BY36" s="652">
        <f>SUM(BY3:BY11)</f>
        <v>21016.886999999999</v>
      </c>
      <c r="BZ36" s="650">
        <f>BY36/BV36-1</f>
        <v>0.19087789540367495</v>
      </c>
      <c r="CA36" s="653">
        <f>IFERROR(BY36/BM36-1,)</f>
        <v>0.40248443342013518</v>
      </c>
      <c r="CB36" s="654">
        <f>SUM(CB3:CB11)</f>
        <v>22545</v>
      </c>
      <c r="CC36" s="655">
        <f>CB36/BY36-1</f>
        <v>7.2708817438091655E-2</v>
      </c>
      <c r="CD36" s="656">
        <f t="shared" si="44"/>
        <v>0.64630551735433883</v>
      </c>
      <c r="CE36" s="657">
        <f>SUM(CE3:CE11)</f>
        <v>21007</v>
      </c>
      <c r="CF36" s="655">
        <f>IFERROR(CE36/CB36-1,)</f>
        <v>-6.821911732091368E-2</v>
      </c>
      <c r="CG36" s="656">
        <f>IFERROR(CE36/BS36-1,)</f>
        <v>0.28675855798266237</v>
      </c>
      <c r="CH36" s="657">
        <f>SUM(CH3:CH11)</f>
        <v>26106.023000000001</v>
      </c>
      <c r="CI36" s="655">
        <f>CH36/CE36-1</f>
        <v>0.24272970914457082</v>
      </c>
      <c r="CJ36" s="656">
        <f>IFERROR(CH36/BV36-1,)</f>
        <v>0.47924313089754622</v>
      </c>
      <c r="CK36" s="657">
        <f>SUM(CK3:CK11)</f>
        <v>20832.944405999999</v>
      </c>
      <c r="CL36" s="655">
        <f>CK36/CH36-1</f>
        <v>-0.20198705080432977</v>
      </c>
      <c r="CM36" s="658">
        <f>IFERROR(CK36/BY36-1,)</f>
        <v>-8.7521331774776945E-3</v>
      </c>
      <c r="CN36" s="654">
        <f>SUM(CN3:CN11)</f>
        <v>27849.183000000001</v>
      </c>
      <c r="CO36" s="655">
        <f>CN36/CK36-1</f>
        <v>0.33678573980062509</v>
      </c>
      <c r="CP36" s="656">
        <f t="shared" ref="CP36" si="85">IFERROR(CN36/CB36-1,)</f>
        <v>0.2352709248170326</v>
      </c>
      <c r="CQ36" s="657">
        <f>SUM(CQ3:CQ11)</f>
        <v>32576.833000000002</v>
      </c>
      <c r="CR36" s="655">
        <f>IFERROR(CQ36/CN36-1,)</f>
        <v>0.16975901950157746</v>
      </c>
      <c r="CS36" s="656">
        <f>IFERROR(CQ36/CE36-1,)</f>
        <v>0.55076084162422068</v>
      </c>
      <c r="CT36" s="657">
        <f>SUM(CT3:CT11)</f>
        <v>0</v>
      </c>
      <c r="CU36" s="655">
        <f>CT36/CQ36-1</f>
        <v>-1</v>
      </c>
      <c r="CV36" s="656">
        <f>IFERROR(CT36/CH36-1,)</f>
        <v>-1</v>
      </c>
      <c r="CW36" s="657">
        <f>SUM(CW3:CW11)</f>
        <v>0</v>
      </c>
      <c r="CX36" s="655" t="e">
        <f>CW36/CT36-1</f>
        <v>#DIV/0!</v>
      </c>
      <c r="CY36" s="658">
        <f>IFERROR(CW36/CK36-1,)</f>
        <v>-1</v>
      </c>
    </row>
    <row r="37" spans="1:103" s="5" customFormat="1" ht="16.2" customHeight="1">
      <c r="A37" s="141"/>
      <c r="B37" s="553" t="s">
        <v>514</v>
      </c>
      <c r="C37" s="94"/>
      <c r="D37" s="297"/>
      <c r="E37" s="297"/>
      <c r="F37" s="297"/>
      <c r="G37" s="297"/>
      <c r="H37" s="297"/>
      <c r="I37" s="298"/>
      <c r="J37" s="298"/>
      <c r="K37" s="297"/>
      <c r="L37" s="298"/>
      <c r="M37" s="298"/>
      <c r="N37" s="297"/>
      <c r="O37" s="298"/>
      <c r="P37" s="298"/>
      <c r="Q37" s="297"/>
      <c r="R37" s="298"/>
      <c r="S37" s="298"/>
      <c r="T37" s="297"/>
      <c r="U37" s="298"/>
      <c r="V37" s="298"/>
      <c r="W37" s="297"/>
      <c r="X37" s="298"/>
      <c r="Y37" s="298"/>
      <c r="Z37" s="297"/>
      <c r="AA37" s="298"/>
      <c r="AB37" s="298"/>
      <c r="AC37" s="297"/>
      <c r="AD37" s="298"/>
      <c r="AE37" s="298"/>
      <c r="AF37" s="297"/>
      <c r="AG37" s="298"/>
      <c r="AH37" s="298"/>
      <c r="AI37" s="297"/>
      <c r="AJ37" s="298"/>
      <c r="AK37" s="298"/>
      <c r="AL37" s="297"/>
      <c r="AM37" s="298"/>
      <c r="AN37" s="298"/>
      <c r="AO37" s="297"/>
      <c r="AP37" s="298"/>
      <c r="AQ37" s="298"/>
      <c r="AR37" s="297"/>
      <c r="AS37" s="298"/>
      <c r="AT37" s="298"/>
      <c r="AU37" s="297"/>
      <c r="AV37" s="298"/>
      <c r="AW37" s="298"/>
      <c r="AX37" s="297"/>
      <c r="AY37" s="298"/>
      <c r="AZ37" s="298"/>
      <c r="BA37" s="297"/>
      <c r="BB37" s="298"/>
      <c r="BC37" s="298"/>
      <c r="BD37" s="297"/>
      <c r="BE37" s="298"/>
      <c r="BF37" s="298"/>
      <c r="BG37" s="297"/>
      <c r="BH37" s="298"/>
      <c r="BI37" s="298"/>
      <c r="BJ37" s="297"/>
      <c r="BK37" s="298"/>
      <c r="BL37" s="298"/>
      <c r="BM37" s="297"/>
      <c r="BN37" s="298"/>
      <c r="BO37" s="298"/>
      <c r="BP37" s="297"/>
      <c r="BQ37" s="298"/>
      <c r="BR37" s="298"/>
      <c r="BS37" s="297"/>
      <c r="BT37" s="298"/>
      <c r="BU37" s="298"/>
      <c r="BV37" s="297"/>
      <c r="BW37" s="298"/>
      <c r="BX37" s="298"/>
      <c r="BY37" s="297"/>
      <c r="BZ37" s="298"/>
      <c r="CA37" s="298"/>
      <c r="CB37" s="297"/>
      <c r="CC37" s="298"/>
      <c r="CD37" s="298"/>
      <c r="CE37" s="297"/>
      <c r="CF37" s="298"/>
      <c r="CG37" s="298"/>
      <c r="CH37" s="297"/>
      <c r="CI37" s="298"/>
      <c r="CJ37" s="298"/>
      <c r="CK37" s="297"/>
      <c r="CL37" s="298"/>
      <c r="CM37" s="298"/>
      <c r="CN37" s="297"/>
      <c r="CO37" s="298"/>
      <c r="CP37" s="298"/>
      <c r="CQ37" s="297"/>
      <c r="CR37" s="298"/>
      <c r="CS37" s="298"/>
      <c r="CT37" s="297"/>
      <c r="CU37" s="298"/>
      <c r="CV37" s="298"/>
      <c r="CW37" s="297"/>
      <c r="CX37" s="298"/>
      <c r="CY37" s="298"/>
    </row>
    <row r="38" spans="1:103" ht="16.2" customHeight="1">
      <c r="B38" s="94" t="s">
        <v>515</v>
      </c>
      <c r="C38" s="94"/>
    </row>
    <row r="39" spans="1:103" ht="16.2" customHeight="1">
      <c r="B39" s="94"/>
      <c r="C39" s="94"/>
    </row>
    <row r="40" spans="1:103" ht="16.2" customHeight="1">
      <c r="B40" s="94"/>
      <c r="C40" s="94"/>
    </row>
    <row r="41" spans="1:103" ht="16.2" customHeight="1">
      <c r="B41" s="94"/>
      <c r="C41" s="94"/>
    </row>
    <row r="42" spans="1:103" ht="16.2" customHeight="1">
      <c r="B42" s="94"/>
      <c r="C42" s="94"/>
    </row>
    <row r="43" spans="1:103" ht="16.2" customHeight="1">
      <c r="B43" s="94"/>
      <c r="C43" s="94"/>
    </row>
    <row r="44" spans="1:103" ht="16.2" customHeight="1">
      <c r="B44" s="94"/>
      <c r="C44" s="94"/>
    </row>
    <row r="45" spans="1:103" ht="16.2" customHeight="1">
      <c r="A45" s="142"/>
      <c r="B45" s="94"/>
      <c r="C45" s="94"/>
    </row>
    <row r="46" spans="1:103" ht="16.2" customHeight="1">
      <c r="A46" s="144"/>
      <c r="B46" s="94"/>
      <c r="C46" s="94"/>
    </row>
    <row r="47" spans="1:103" ht="16.2" customHeight="1">
      <c r="A47" s="142"/>
      <c r="B47" s="94"/>
      <c r="C47" s="94"/>
    </row>
    <row r="48" spans="1:103" ht="16.2" customHeight="1">
      <c r="A48" s="145"/>
      <c r="B48" s="94"/>
      <c r="C48" s="94"/>
    </row>
    <row r="49" spans="1:3" ht="16.2" customHeight="1">
      <c r="A49" s="145"/>
      <c r="B49" s="94"/>
      <c r="C49" s="94"/>
    </row>
    <row r="50" spans="1:3" ht="16.2" customHeight="1">
      <c r="A50" s="142"/>
      <c r="B50" s="94"/>
      <c r="C50" s="94"/>
    </row>
    <row r="51" spans="1:3" ht="16.2" customHeight="1">
      <c r="A51" s="145"/>
      <c r="B51" s="94"/>
      <c r="C51" s="94"/>
    </row>
    <row r="52" spans="1:3" ht="16.2" customHeight="1">
      <c r="A52" s="145"/>
      <c r="B52" s="94"/>
      <c r="C52" s="94"/>
    </row>
    <row r="53" spans="1:3" ht="16.2" customHeight="1">
      <c r="A53" s="142"/>
      <c r="B53" s="94"/>
      <c r="C53" s="94"/>
    </row>
    <row r="54" spans="1:3" ht="16.2" customHeight="1">
      <c r="A54" s="145"/>
      <c r="B54" s="94"/>
      <c r="C54" s="94"/>
    </row>
    <row r="55" spans="1:3" ht="16.2" customHeight="1">
      <c r="A55" s="145"/>
      <c r="B55" s="94"/>
      <c r="C55" s="94"/>
    </row>
    <row r="56" spans="1:3" ht="16.2" customHeight="1">
      <c r="A56" s="142"/>
      <c r="B56" s="94"/>
      <c r="C56" s="94"/>
    </row>
    <row r="57" spans="1:3" ht="16.2" customHeight="1">
      <c r="A57" s="146"/>
      <c r="B57" s="94"/>
      <c r="C57" s="94"/>
    </row>
    <row r="58" spans="1:3" ht="16.2" customHeight="1">
      <c r="A58" s="145"/>
      <c r="B58" s="94"/>
      <c r="C58" s="94"/>
    </row>
    <row r="59" spans="1:3" ht="16.2" customHeight="1">
      <c r="A59" s="145"/>
      <c r="B59" s="94"/>
      <c r="C59" s="94"/>
    </row>
    <row r="60" spans="1:3" ht="16.2" customHeight="1">
      <c r="A60" s="147"/>
      <c r="B60" s="94"/>
      <c r="C60" s="94"/>
    </row>
    <row r="61" spans="1:3" ht="16.2" customHeight="1">
      <c r="B61" s="94"/>
      <c r="C61" s="94"/>
    </row>
    <row r="62" spans="1:3" ht="16.2" customHeight="1">
      <c r="B62" s="94"/>
      <c r="C62" s="94"/>
    </row>
    <row r="63" spans="1:3" ht="16.2" customHeight="1">
      <c r="B63" s="94"/>
      <c r="C63" s="94"/>
    </row>
    <row r="64" spans="1:3" ht="16.2" customHeight="1">
      <c r="B64" s="94"/>
      <c r="C64" s="94"/>
    </row>
    <row r="65" spans="2:3" ht="16.2" customHeight="1">
      <c r="B65" s="94"/>
      <c r="C65" s="94"/>
    </row>
    <row r="66" spans="2:3" ht="16.2" customHeight="1">
      <c r="B66" s="94"/>
      <c r="C66" s="94"/>
    </row>
    <row r="67" spans="2:3" ht="16.2" customHeight="1">
      <c r="B67" s="94"/>
      <c r="C67" s="94"/>
    </row>
    <row r="68" spans="2:3" ht="16.2" customHeight="1">
      <c r="B68" s="94"/>
      <c r="C68" s="94"/>
    </row>
    <row r="69" spans="2:3" ht="16.2" customHeight="1">
      <c r="B69" s="94"/>
      <c r="C69" s="94"/>
    </row>
    <row r="70" spans="2:3" ht="16.2" customHeight="1">
      <c r="B70" s="94"/>
      <c r="C70" s="94"/>
    </row>
    <row r="71" spans="2:3" ht="16.2" customHeight="1">
      <c r="B71" s="94"/>
      <c r="C71" s="94"/>
    </row>
    <row r="72" spans="2:3" ht="16.2" customHeight="1">
      <c r="B72" s="94"/>
      <c r="C72" s="94"/>
    </row>
    <row r="73" spans="2:3" ht="16.2" customHeight="1">
      <c r="B73" s="94"/>
      <c r="C73" s="94"/>
    </row>
    <row r="74" spans="2:3" ht="16.2" customHeight="1">
      <c r="B74" s="94"/>
      <c r="C74" s="94"/>
    </row>
    <row r="75" spans="2:3" ht="16.2" customHeight="1">
      <c r="B75" s="94"/>
      <c r="C75" s="94"/>
    </row>
    <row r="76" spans="2:3" ht="16.2" customHeight="1">
      <c r="B76" s="94"/>
      <c r="C76" s="94"/>
    </row>
    <row r="77" spans="2:3" ht="16.2" customHeight="1">
      <c r="B77" s="94"/>
      <c r="C77" s="94"/>
    </row>
    <row r="78" spans="2:3" ht="16.2" customHeight="1">
      <c r="B78" s="94"/>
      <c r="C78" s="94"/>
    </row>
    <row r="79" spans="2:3" ht="16.2" customHeight="1">
      <c r="B79" s="94"/>
      <c r="C79" s="94"/>
    </row>
    <row r="80" spans="2:3" ht="16.2" customHeight="1">
      <c r="B80" s="94"/>
      <c r="C80" s="94"/>
    </row>
    <row r="81" spans="2:3" ht="16.2" customHeight="1">
      <c r="B81" s="94"/>
      <c r="C81" s="94"/>
    </row>
    <row r="82" spans="2:3" ht="16.2" customHeight="1">
      <c r="B82" s="94"/>
      <c r="C82" s="94"/>
    </row>
    <row r="83" spans="2:3" ht="16.2" customHeight="1">
      <c r="B83" s="94"/>
      <c r="C83" s="94"/>
    </row>
    <row r="84" spans="2:3" ht="16.2" customHeight="1">
      <c r="B84" s="94"/>
      <c r="C84" s="94"/>
    </row>
    <row r="85" spans="2:3" ht="16.2" customHeight="1">
      <c r="B85" s="94"/>
      <c r="C85" s="94"/>
    </row>
    <row r="86" spans="2:3" ht="16.2" customHeight="1">
      <c r="B86" s="94"/>
      <c r="C86" s="94"/>
    </row>
    <row r="87" spans="2:3" ht="16.2" customHeight="1">
      <c r="B87" s="94"/>
      <c r="C87" s="94"/>
    </row>
    <row r="88" spans="2:3" ht="16.2" customHeight="1">
      <c r="B88" s="94"/>
      <c r="C88" s="94"/>
    </row>
    <row r="89" spans="2:3" ht="16.2" customHeight="1">
      <c r="B89" s="94"/>
      <c r="C89" s="94"/>
    </row>
    <row r="90" spans="2:3" ht="16.2" customHeight="1">
      <c r="B90" s="94"/>
      <c r="C90" s="94"/>
    </row>
    <row r="91" spans="2:3" ht="16.2" customHeight="1">
      <c r="B91" s="94"/>
      <c r="C91" s="94"/>
    </row>
    <row r="92" spans="2:3" ht="16.2" customHeight="1">
      <c r="B92" s="94"/>
      <c r="C92" s="94"/>
    </row>
    <row r="93" spans="2:3" ht="16.2" customHeight="1">
      <c r="B93" s="94"/>
      <c r="C93" s="94"/>
    </row>
    <row r="94" spans="2:3" ht="16.2" customHeight="1">
      <c r="B94" s="94"/>
      <c r="C94" s="94"/>
    </row>
    <row r="95" spans="2:3" ht="16.2" customHeight="1">
      <c r="B95" s="94"/>
      <c r="C95" s="94"/>
    </row>
    <row r="96" spans="2:3" ht="16.2" customHeight="1">
      <c r="B96" s="94"/>
      <c r="C96" s="94"/>
    </row>
    <row r="97" spans="2:3" ht="16.2" customHeight="1">
      <c r="B97" s="94"/>
      <c r="C97" s="94"/>
    </row>
    <row r="98" spans="2:3" ht="16.2" customHeight="1">
      <c r="B98" s="94"/>
      <c r="C98" s="94"/>
    </row>
    <row r="99" spans="2:3" ht="16.2" customHeight="1">
      <c r="B99" s="94"/>
      <c r="C99" s="94"/>
    </row>
    <row r="100" spans="2:3" ht="16.2" customHeight="1">
      <c r="B100" s="94"/>
      <c r="C100" s="94"/>
    </row>
    <row r="101" spans="2:3" ht="16.2" customHeight="1">
      <c r="B101" s="94"/>
      <c r="C101" s="94"/>
    </row>
    <row r="102" spans="2:3" ht="16.2" customHeight="1">
      <c r="B102" s="94"/>
      <c r="C102" s="94"/>
    </row>
    <row r="103" spans="2:3" ht="16.2" customHeight="1">
      <c r="B103" s="94"/>
      <c r="C103" s="94"/>
    </row>
    <row r="104" spans="2:3" ht="16.2" customHeight="1">
      <c r="B104" s="94"/>
      <c r="C104" s="94"/>
    </row>
    <row r="105" spans="2:3" ht="16.2" customHeight="1">
      <c r="B105" s="94"/>
      <c r="C105" s="94"/>
    </row>
    <row r="106" spans="2:3" ht="16.2" customHeight="1">
      <c r="B106" s="94"/>
      <c r="C106" s="94"/>
    </row>
    <row r="107" spans="2:3" ht="16.2" customHeight="1">
      <c r="B107" s="94"/>
      <c r="C107" s="94"/>
    </row>
    <row r="108" spans="2:3" ht="16.2" customHeight="1">
      <c r="B108" s="94"/>
      <c r="C108" s="94"/>
    </row>
  </sheetData>
  <mergeCells count="7">
    <mergeCell ref="CT12:CV35"/>
    <mergeCell ref="CW12:CY35"/>
    <mergeCell ref="CE12:CG35"/>
    <mergeCell ref="CH12:CJ35"/>
    <mergeCell ref="CK12:CM35"/>
    <mergeCell ref="CN12:CP35"/>
    <mergeCell ref="CQ12:CS35"/>
  </mergeCells>
  <phoneticPr fontId="3" type="noConversion"/>
  <conditionalFormatting sqref="I3:J36 L3:M36 O3:P36 R3:S36 U3:V36 X3:Y36 AA3:AB36 AD3:AE36 AG3:AH36 AJ3:AK36 AM3:AN36 AP3:AQ36 AS3:AT36 AV3:AW36 AY3:AZ36 BB3:BC36 BE3:BF36 BH3:BI36 BK3:BL36 BN3:BO36 BQ3:BR36 BT3:BU36 BW3:BX36 BZ3:CA36 CC3:CD36">
    <cfRule type="cellIs" dxfId="381" priority="35" operator="lessThan">
      <formula>0</formula>
    </cfRule>
    <cfRule type="cellIs" dxfId="380" priority="36" operator="greaterThan">
      <formula>0</formula>
    </cfRule>
  </conditionalFormatting>
  <conditionalFormatting sqref="CF3:CG11 CI3:CJ11">
    <cfRule type="cellIs" dxfId="379" priority="37" operator="lessThan">
      <formula>0</formula>
    </cfRule>
    <cfRule type="cellIs" dxfId="378" priority="38" operator="greaterThan">
      <formula>0</formula>
    </cfRule>
  </conditionalFormatting>
  <conditionalFormatting sqref="CF36:CG36">
    <cfRule type="cellIs" dxfId="377" priority="29" operator="lessThan">
      <formula>0</formula>
    </cfRule>
    <cfRule type="cellIs" dxfId="376" priority="30" operator="greaterThan">
      <formula>0</formula>
    </cfRule>
  </conditionalFormatting>
  <conditionalFormatting sqref="CI36:CJ36">
    <cfRule type="cellIs" dxfId="375" priority="27" operator="lessThan">
      <formula>0</formula>
    </cfRule>
    <cfRule type="cellIs" dxfId="374" priority="28" operator="greaterThan">
      <formula>0</formula>
    </cfRule>
  </conditionalFormatting>
  <conditionalFormatting sqref="CL3:CM11">
    <cfRule type="cellIs" dxfId="373" priority="25" operator="lessThan">
      <formula>0</formula>
    </cfRule>
    <cfRule type="cellIs" dxfId="372" priority="26" operator="greaterThan">
      <formula>0</formula>
    </cfRule>
  </conditionalFormatting>
  <conditionalFormatting sqref="CL36:CM36">
    <cfRule type="cellIs" dxfId="371" priority="23" operator="lessThan">
      <formula>0</formula>
    </cfRule>
    <cfRule type="cellIs" dxfId="370" priority="24" operator="greaterThan">
      <formula>0</formula>
    </cfRule>
  </conditionalFormatting>
  <conditionalFormatting sqref="CO3:CP11 CO36:CP36">
    <cfRule type="cellIs" dxfId="369" priority="9" operator="lessThan">
      <formula>0</formula>
    </cfRule>
    <cfRule type="cellIs" dxfId="368" priority="10" operator="greaterThan">
      <formula>0</formula>
    </cfRule>
  </conditionalFormatting>
  <conditionalFormatting sqref="CR3:CS11 CU3:CV11">
    <cfRule type="cellIs" dxfId="367" priority="11" operator="lessThan">
      <formula>0</formula>
    </cfRule>
    <cfRule type="cellIs" dxfId="366" priority="12" operator="greaterThan">
      <formula>0</formula>
    </cfRule>
  </conditionalFormatting>
  <conditionalFormatting sqref="CR36:CS36">
    <cfRule type="cellIs" dxfId="365" priority="7" operator="lessThan">
      <formula>0</formula>
    </cfRule>
    <cfRule type="cellIs" dxfId="364" priority="8" operator="greaterThan">
      <formula>0</formula>
    </cfRule>
  </conditionalFormatting>
  <conditionalFormatting sqref="CU36:CV36">
    <cfRule type="cellIs" dxfId="363" priority="5" operator="lessThan">
      <formula>0</formula>
    </cfRule>
    <cfRule type="cellIs" dxfId="362" priority="6" operator="greaterThan">
      <formula>0</formula>
    </cfRule>
  </conditionalFormatting>
  <conditionalFormatting sqref="CX3:CY11">
    <cfRule type="cellIs" dxfId="361" priority="3" operator="lessThan">
      <formula>0</formula>
    </cfRule>
    <cfRule type="cellIs" dxfId="360" priority="4" operator="greaterThan">
      <formula>0</formula>
    </cfRule>
  </conditionalFormatting>
  <conditionalFormatting sqref="CX36:CY36">
    <cfRule type="cellIs" dxfId="359" priority="1" operator="lessThan">
      <formula>0</formula>
    </cfRule>
    <cfRule type="cellIs" dxfId="358" priority="2" operator="greaterThan">
      <formula>0</formula>
    </cfRule>
  </conditionalFormatting>
  <pageMargins left="0.25" right="0.25" top="0.75" bottom="0.75" header="0.3" footer="0.3"/>
  <pageSetup paperSize="9" scale="45" fitToHeight="0" orientation="landscape" r:id="rId1"/>
  <colBreaks count="1" manualBreakCount="1">
    <brk id="67"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CE5E0B-D40E-4084-9561-FD4EE9E90A42}">
  <sheetPr>
    <tabColor theme="8"/>
  </sheetPr>
  <dimension ref="A1"/>
  <sheetViews>
    <sheetView workbookViewId="0"/>
  </sheetViews>
  <sheetFormatPr defaultRowHeight="17.399999999999999"/>
  <sheetData/>
  <phoneticPr fontId="3"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8D81B6-C60A-42F2-89CB-6579F56AC60B}">
  <sheetPr>
    <pageSetUpPr fitToPage="1"/>
  </sheetPr>
  <dimension ref="A1:O125"/>
  <sheetViews>
    <sheetView showGridLines="0" view="pageBreakPreview" zoomScaleNormal="100" zoomScaleSheetLayoutView="100" workbookViewId="0">
      <pane xSplit="3" ySplit="3" topLeftCell="D81" activePane="bottomRight" state="frozen"/>
      <selection activeCell="D4" sqref="D4:G24"/>
      <selection pane="topRight" activeCell="D4" sqref="D4:G24"/>
      <selection pane="bottomLeft" activeCell="D4" sqref="D4:G24"/>
      <selection pane="bottomRight" activeCell="I94" sqref="I94"/>
    </sheetView>
  </sheetViews>
  <sheetFormatPr defaultColWidth="7.59765625" defaultRowHeight="16.2" customHeight="1"/>
  <cols>
    <col min="1" max="1" width="3.19921875" style="141" customWidth="1"/>
    <col min="2" max="2" width="14.5" style="93" customWidth="1"/>
    <col min="3" max="3" width="24.09765625" style="93" customWidth="1"/>
    <col min="4" max="9" width="9.19921875" style="174" customWidth="1"/>
    <col min="10" max="11" width="9.19921875" style="174" hidden="1" customWidth="1"/>
    <col min="12" max="12" width="0" style="8" hidden="1" customWidth="1"/>
    <col min="13" max="13" width="7.59765625" style="8"/>
    <col min="14" max="14" width="15.59765625" style="939" customWidth="1"/>
    <col min="15" max="16384" width="7.59765625" style="8"/>
  </cols>
  <sheetData>
    <row r="1" spans="1:14" s="36" customFormat="1" ht="13.2">
      <c r="A1" s="142"/>
      <c r="B1" s="31" t="s">
        <v>241</v>
      </c>
      <c r="C1" s="35"/>
      <c r="D1" s="176"/>
      <c r="E1" s="176"/>
      <c r="F1" s="176"/>
      <c r="G1" s="8"/>
      <c r="H1" s="176"/>
      <c r="I1" s="176"/>
      <c r="J1" s="176"/>
      <c r="K1" s="8"/>
      <c r="N1" s="938"/>
    </row>
    <row r="2" spans="1:14" ht="16.2" customHeight="1" thickBot="1">
      <c r="B2" s="31" t="s">
        <v>114</v>
      </c>
      <c r="C2" s="32"/>
      <c r="D2" s="119" t="s">
        <v>314</v>
      </c>
      <c r="H2" s="119" t="s">
        <v>456</v>
      </c>
    </row>
    <row r="3" spans="1:14" s="32" customFormat="1" ht="16.2" customHeight="1">
      <c r="A3" s="141">
        <v>1</v>
      </c>
      <c r="B3" s="166" t="str">
        <f>Q_IS!B3</f>
        <v>(단위 : 십억원)</v>
      </c>
      <c r="C3" s="166" t="str">
        <f>Q_IS!C3</f>
        <v>(Unit: Billion KRW)</v>
      </c>
      <c r="D3" s="235" t="s">
        <v>244</v>
      </c>
      <c r="E3" s="236" t="s">
        <v>326</v>
      </c>
      <c r="F3" s="236" t="s">
        <v>356</v>
      </c>
      <c r="G3" s="660" t="s">
        <v>454</v>
      </c>
      <c r="H3" s="235" t="s">
        <v>474</v>
      </c>
      <c r="I3" s="236" t="s">
        <v>478</v>
      </c>
      <c r="J3" s="236" t="s">
        <v>479</v>
      </c>
      <c r="K3" s="660" t="s">
        <v>480</v>
      </c>
      <c r="N3" s="940"/>
    </row>
    <row r="4" spans="1:14" s="41" customFormat="1" ht="16.2" customHeight="1">
      <c r="A4" s="141">
        <f>A3+1</f>
        <v>2</v>
      </c>
      <c r="B4" s="38" t="str">
        <f>Q_IS!B4</f>
        <v>매출</v>
      </c>
      <c r="C4" s="39" t="str">
        <f>Q_IS!C4</f>
        <v>Revenue</v>
      </c>
      <c r="D4" s="182">
        <f>Q_IS!D4</f>
        <v>77.113</v>
      </c>
      <c r="E4" s="183">
        <f>D4+Q_IS!E4</f>
        <v>160.39699999999999</v>
      </c>
      <c r="F4" s="183">
        <f>E4+Q_IS!F4</f>
        <v>243.39400000000001</v>
      </c>
      <c r="G4" s="664">
        <f>F4+Q_IS!G4</f>
        <v>336.81900000000002</v>
      </c>
      <c r="H4" s="182">
        <f>Q_IS!H4</f>
        <v>87.174999999999997</v>
      </c>
      <c r="I4" s="183">
        <f>H4+Q_IS!K4</f>
        <v>192.69</v>
      </c>
      <c r="J4" s="183">
        <f>I4+Q_IS!N4</f>
        <v>192.69</v>
      </c>
      <c r="K4" s="664">
        <f>J4+Q_IS!Q4</f>
        <v>192.69</v>
      </c>
      <c r="N4" s="941"/>
    </row>
    <row r="5" spans="1:14" s="49" customFormat="1" ht="16.2" customHeight="1">
      <c r="A5" s="141">
        <f>A4+1</f>
        <v>3</v>
      </c>
      <c r="B5" s="44" t="str">
        <f>Q_IS!B5</f>
        <v>매출원가</v>
      </c>
      <c r="C5" s="45" t="str">
        <f>Q_IS!C5</f>
        <v>COGS</v>
      </c>
      <c r="D5" s="189">
        <f>Q_IS!D5</f>
        <v>-15.785</v>
      </c>
      <c r="E5" s="190">
        <f>D5+Q_IS!E5</f>
        <v>-35.051000000000002</v>
      </c>
      <c r="F5" s="190">
        <f>E5+Q_IS!F5</f>
        <v>-54.323999999999998</v>
      </c>
      <c r="G5" s="662">
        <f>F5+Q_IS!G5</f>
        <v>-75.727000000000004</v>
      </c>
      <c r="H5" s="189">
        <f>Q_IS!H5</f>
        <v>-22.126999999999999</v>
      </c>
      <c r="I5" s="190">
        <f>H5+Q_IS!K5</f>
        <v>-51.125</v>
      </c>
      <c r="J5" s="190">
        <f>I5+Q_IS!N5</f>
        <v>-51.125</v>
      </c>
      <c r="K5" s="662">
        <f>J5+Q_IS!Q5</f>
        <v>-51.125</v>
      </c>
      <c r="N5" s="942"/>
    </row>
    <row r="6" spans="1:14" s="49" customFormat="1" ht="16.2" customHeight="1">
      <c r="A6" s="141">
        <f t="shared" ref="A6:A23" si="0">A5+1</f>
        <v>4</v>
      </c>
      <c r="B6" s="50" t="str">
        <f>Q_IS!B6</f>
        <v>(%)</v>
      </c>
      <c r="C6" s="51" t="str">
        <f>Q_IS!C6</f>
        <v>(%)</v>
      </c>
      <c r="D6" s="196">
        <f t="shared" ref="D6:F6" si="1">-D5/D$4</f>
        <v>0.20469959669575818</v>
      </c>
      <c r="E6" s="197">
        <f t="shared" si="1"/>
        <v>0.21852653104484501</v>
      </c>
      <c r="F6" s="197">
        <f t="shared" si="1"/>
        <v>0.22319366952348865</v>
      </c>
      <c r="G6" s="663">
        <f>-G5/G$4</f>
        <v>0.22482995317960092</v>
      </c>
      <c r="H6" s="196">
        <f t="shared" ref="H6:J6" si="2">-H5/H$4</f>
        <v>0.25382277028964728</v>
      </c>
      <c r="I6" s="197">
        <f t="shared" si="2"/>
        <v>0.26532253879287976</v>
      </c>
      <c r="J6" s="197">
        <f t="shared" si="2"/>
        <v>0.26532253879287976</v>
      </c>
      <c r="K6" s="663">
        <f>-K5/K$4</f>
        <v>0.26532253879287976</v>
      </c>
      <c r="N6" s="942"/>
    </row>
    <row r="7" spans="1:14" s="14" customFormat="1" ht="16.2" customHeight="1">
      <c r="A7" s="141">
        <f t="shared" si="0"/>
        <v>5</v>
      </c>
      <c r="B7" s="52" t="str">
        <f>Q_IS!B7</f>
        <v>매출총이익</v>
      </c>
      <c r="C7" s="53" t="str">
        <f>Q_IS!C7</f>
        <v>Gross Profit</v>
      </c>
      <c r="D7" s="200">
        <f>Q_IS!D7</f>
        <v>61.328000000000003</v>
      </c>
      <c r="E7" s="201">
        <f>D7+Q_IS!E7</f>
        <v>125.346</v>
      </c>
      <c r="F7" s="201">
        <f>E7+Q_IS!F7</f>
        <v>189.07</v>
      </c>
      <c r="G7" s="664">
        <f>F7+Q_IS!G7</f>
        <v>261.09199999999998</v>
      </c>
      <c r="H7" s="200">
        <f>Q_IS!H7</f>
        <v>65.048000000000002</v>
      </c>
      <c r="I7" s="201">
        <f>H7+Q_IS!K7</f>
        <v>141.565</v>
      </c>
      <c r="J7" s="201">
        <f>I7+Q_IS!N7</f>
        <v>141.565</v>
      </c>
      <c r="K7" s="664">
        <f>J7+Q_IS!Q7</f>
        <v>141.565</v>
      </c>
      <c r="N7" s="943"/>
    </row>
    <row r="8" spans="1:14" s="170" customFormat="1" ht="16.2" customHeight="1">
      <c r="A8" s="141">
        <f t="shared" si="0"/>
        <v>6</v>
      </c>
      <c r="B8" s="168" t="str">
        <f>Q_IS!B8</f>
        <v>(%)</v>
      </c>
      <c r="C8" s="169" t="str">
        <f>Q_IS!C8</f>
        <v>(%)</v>
      </c>
      <c r="D8" s="204">
        <f t="shared" ref="D8:K8" si="3">D7/D$4</f>
        <v>0.7953004033042419</v>
      </c>
      <c r="E8" s="205">
        <f t="shared" si="3"/>
        <v>0.78147346895515513</v>
      </c>
      <c r="F8" s="205">
        <f t="shared" si="3"/>
        <v>0.77680633047651126</v>
      </c>
      <c r="G8" s="665">
        <f t="shared" si="3"/>
        <v>0.77517004682039903</v>
      </c>
      <c r="H8" s="204">
        <f t="shared" si="3"/>
        <v>0.74617722971035283</v>
      </c>
      <c r="I8" s="205">
        <f t="shared" si="3"/>
        <v>0.7346774612071203</v>
      </c>
      <c r="J8" s="205">
        <f t="shared" si="3"/>
        <v>0.7346774612071203</v>
      </c>
      <c r="K8" s="665">
        <f t="shared" si="3"/>
        <v>0.7346774612071203</v>
      </c>
      <c r="N8" s="944"/>
    </row>
    <row r="9" spans="1:14" s="62" customFormat="1" ht="16.2" customHeight="1">
      <c r="A9" s="141">
        <f t="shared" si="0"/>
        <v>7</v>
      </c>
      <c r="B9" s="60" t="str">
        <f>Q_IS!B9</f>
        <v>판관비</v>
      </c>
      <c r="C9" s="61" t="str">
        <f>Q_IS!C9</f>
        <v>SG&amp;A</v>
      </c>
      <c r="D9" s="209">
        <f>Q_IS!D9</f>
        <v>-22.545999999999999</v>
      </c>
      <c r="E9" s="210">
        <f>D9+Q_IS!E9</f>
        <v>-43.552999999999997</v>
      </c>
      <c r="F9" s="210">
        <f>E9+Q_IS!F9</f>
        <v>-69.658999999999992</v>
      </c>
      <c r="G9" s="666">
        <f>F9+Q_IS!G9</f>
        <v>-90.490999999999985</v>
      </c>
      <c r="H9" s="209">
        <f>Q_IS!H9</f>
        <v>-27.849</v>
      </c>
      <c r="I9" s="210">
        <f>H9+Q_IS!K9</f>
        <v>-60.426000000000002</v>
      </c>
      <c r="J9" s="210">
        <f>I9+Q_IS!N9</f>
        <v>-60.426000000000002</v>
      </c>
      <c r="K9" s="666">
        <f>J9+Q_IS!Q9</f>
        <v>-60.426000000000002</v>
      </c>
      <c r="N9" s="945"/>
    </row>
    <row r="10" spans="1:14" s="62" customFormat="1" ht="16.2" customHeight="1">
      <c r="A10" s="141">
        <f t="shared" si="0"/>
        <v>8</v>
      </c>
      <c r="B10" s="50" t="str">
        <f>Q_IS!B10</f>
        <v>(%)</v>
      </c>
      <c r="C10" s="51" t="str">
        <f>Q_IS!C10</f>
        <v>(%)</v>
      </c>
      <c r="D10" s="196">
        <f t="shared" ref="D10:F10" si="4">-D9/D$4</f>
        <v>0.29237612335144525</v>
      </c>
      <c r="E10" s="197">
        <f t="shared" si="4"/>
        <v>0.2715325099596626</v>
      </c>
      <c r="F10" s="197">
        <f t="shared" si="4"/>
        <v>0.28619850941272174</v>
      </c>
      <c r="G10" s="663">
        <f>-G9/G$4</f>
        <v>0.2686635848927762</v>
      </c>
      <c r="H10" s="196">
        <f t="shared" ref="H10:J10" si="5">-H9/H$4</f>
        <v>0.31946085460281043</v>
      </c>
      <c r="I10" s="197">
        <f t="shared" si="5"/>
        <v>0.31359177954226997</v>
      </c>
      <c r="J10" s="197">
        <f t="shared" si="5"/>
        <v>0.31359177954226997</v>
      </c>
      <c r="K10" s="663">
        <f>-K9/K$4</f>
        <v>0.31359177954226997</v>
      </c>
      <c r="N10" s="945"/>
    </row>
    <row r="11" spans="1:14" s="41" customFormat="1" ht="16.2" customHeight="1">
      <c r="A11" s="141">
        <f t="shared" si="0"/>
        <v>9</v>
      </c>
      <c r="B11" s="38" t="str">
        <f>Q_IS!B11</f>
        <v>영업이익</v>
      </c>
      <c r="C11" s="39" t="str">
        <f>Q_IS!C11</f>
        <v>Operating Profit</v>
      </c>
      <c r="D11" s="182">
        <f>Q_IS!D11</f>
        <v>38.782000000000004</v>
      </c>
      <c r="E11" s="183">
        <f>D11+Q_IS!E11</f>
        <v>81.793000000000006</v>
      </c>
      <c r="F11" s="183">
        <f>E11+Q_IS!F11</f>
        <v>119.411</v>
      </c>
      <c r="G11" s="661">
        <f>F11+Q_IS!G11</f>
        <v>170.601</v>
      </c>
      <c r="H11" s="182">
        <f>Q_IS!H11</f>
        <v>37.198999999999998</v>
      </c>
      <c r="I11" s="183">
        <f>H11+Q_IS!K11</f>
        <v>81.138999999999996</v>
      </c>
      <c r="J11" s="183">
        <f>I11+Q_IS!N11</f>
        <v>81.138999999999996</v>
      </c>
      <c r="K11" s="661">
        <f>J11+Q_IS!Q11</f>
        <v>81.138999999999996</v>
      </c>
      <c r="N11" s="941"/>
    </row>
    <row r="12" spans="1:14" s="171" customFormat="1" ht="16.2" customHeight="1">
      <c r="A12" s="141">
        <f t="shared" si="0"/>
        <v>10</v>
      </c>
      <c r="B12" s="168" t="str">
        <f>Q_IS!B12</f>
        <v>(%)</v>
      </c>
      <c r="C12" s="169" t="str">
        <f>Q_IS!C12</f>
        <v>(%)</v>
      </c>
      <c r="D12" s="204">
        <f t="shared" ref="D12:F12" si="6">D11/D$4</f>
        <v>0.50292427995279665</v>
      </c>
      <c r="E12" s="205">
        <f t="shared" si="6"/>
        <v>0.50994095899549252</v>
      </c>
      <c r="F12" s="205">
        <f t="shared" si="6"/>
        <v>0.49060782106378958</v>
      </c>
      <c r="G12" s="665">
        <f>G11/G$4</f>
        <v>0.50650646192762283</v>
      </c>
      <c r="H12" s="204">
        <f t="shared" ref="H12:J12" si="7">H11/H$4</f>
        <v>0.42671637510754229</v>
      </c>
      <c r="I12" s="205">
        <f t="shared" si="7"/>
        <v>0.42108568166485028</v>
      </c>
      <c r="J12" s="205">
        <f t="shared" si="7"/>
        <v>0.42108568166485028</v>
      </c>
      <c r="K12" s="665">
        <f>K11/K$4</f>
        <v>0.42108568166485028</v>
      </c>
      <c r="N12" s="946"/>
    </row>
    <row r="13" spans="1:14" s="129" customFormat="1" ht="16.2" customHeight="1">
      <c r="A13" s="141" t="e">
        <f>#REF!+1</f>
        <v>#REF!</v>
      </c>
      <c r="B13" s="381" t="str">
        <f>Q_IS!B13</f>
        <v>금융수익</v>
      </c>
      <c r="C13" s="382" t="str">
        <f>Q_IS!C13</f>
        <v>Financial  Income</v>
      </c>
      <c r="D13" s="383">
        <f>Q_IS!D13</f>
        <v>2.1360000000000001</v>
      </c>
      <c r="E13" s="384">
        <f>D13+Q_IS!E13</f>
        <v>3.1550000000000002</v>
      </c>
      <c r="F13" s="384">
        <f>E13+Q_IS!F13</f>
        <v>5.4007050000000003</v>
      </c>
      <c r="G13" s="471">
        <f>F13+Q_IS!G13</f>
        <v>10.070705</v>
      </c>
      <c r="H13" s="383">
        <f>Q_IS!H13</f>
        <v>10.218999999999999</v>
      </c>
      <c r="I13" s="384">
        <f>H13+Q_IS!K13</f>
        <v>15.57</v>
      </c>
      <c r="J13" s="384">
        <f>I13+Q_IS!N13</f>
        <v>15.57</v>
      </c>
      <c r="K13" s="471">
        <f>J13+Q_IS!Q13</f>
        <v>15.57</v>
      </c>
      <c r="N13" s="947"/>
    </row>
    <row r="14" spans="1:14" s="129" customFormat="1" ht="16.2" customHeight="1">
      <c r="A14" s="141" t="e">
        <f t="shared" si="0"/>
        <v>#REF!</v>
      </c>
      <c r="B14" s="381" t="str">
        <f>Q_IS!B14</f>
        <v>금융비용</v>
      </c>
      <c r="C14" s="382" t="str">
        <f>Q_IS!C14</f>
        <v>Financial Expenses</v>
      </c>
      <c r="D14" s="383">
        <f>Q_IS!D14</f>
        <v>-1.411</v>
      </c>
      <c r="E14" s="384">
        <f>D14+Q_IS!E14</f>
        <v>-12.916</v>
      </c>
      <c r="F14" s="384">
        <f>E14+Q_IS!F14</f>
        <v>-9.9419950000000004</v>
      </c>
      <c r="G14" s="471">
        <f>F14+Q_IS!G14</f>
        <v>-10.870995000000001</v>
      </c>
      <c r="H14" s="383">
        <f>Q_IS!H14</f>
        <v>-2.4239999999999999</v>
      </c>
      <c r="I14" s="384">
        <f>H14+Q_IS!K14</f>
        <v>-14.429</v>
      </c>
      <c r="J14" s="384">
        <f>I14+Q_IS!N14</f>
        <v>-14.429</v>
      </c>
      <c r="K14" s="471">
        <f>J14+Q_IS!Q14</f>
        <v>-14.429</v>
      </c>
      <c r="N14" s="947"/>
    </row>
    <row r="15" spans="1:14" s="129" customFormat="1" ht="16.2" customHeight="1">
      <c r="A15" s="141" t="e">
        <f t="shared" si="0"/>
        <v>#REF!</v>
      </c>
      <c r="B15" s="381" t="str">
        <f>Q_IS!B15</f>
        <v>기타수익</v>
      </c>
      <c r="C15" s="382" t="str">
        <f>Q_IS!C15</f>
        <v>Other Income</v>
      </c>
      <c r="D15" s="383">
        <f>Q_IS!D15</f>
        <v>4.4999999999999998E-2</v>
      </c>
      <c r="E15" s="384">
        <f>D15+Q_IS!E15</f>
        <v>8.0999999999999989E-2</v>
      </c>
      <c r="F15" s="384">
        <f>E15+Q_IS!F15</f>
        <v>0.13508599999999998</v>
      </c>
      <c r="G15" s="471">
        <f>F15+Q_IS!G15</f>
        <v>0.38908599999999999</v>
      </c>
      <c r="H15" s="383">
        <f>Q_IS!H15</f>
        <v>0.51400000000000001</v>
      </c>
      <c r="I15" s="384">
        <f>H15+Q_IS!K15</f>
        <v>0.33100000000000002</v>
      </c>
      <c r="J15" s="384">
        <f>I15+Q_IS!N15</f>
        <v>0.33100000000000002</v>
      </c>
      <c r="K15" s="471">
        <f>J15+Q_IS!Q15</f>
        <v>0.33100000000000002</v>
      </c>
      <c r="N15" s="947"/>
    </row>
    <row r="16" spans="1:14" s="129" customFormat="1" ht="16.2" customHeight="1">
      <c r="A16" s="141" t="e">
        <f t="shared" si="0"/>
        <v>#REF!</v>
      </c>
      <c r="B16" s="381" t="str">
        <f>Q_IS!B16</f>
        <v>기타비용</v>
      </c>
      <c r="C16" s="382" t="str">
        <f>Q_IS!C16</f>
        <v>Other Expenses</v>
      </c>
      <c r="D16" s="383">
        <f>Q_IS!D16</f>
        <v>-2E-3</v>
      </c>
      <c r="E16" s="384">
        <f>D16+Q_IS!E16</f>
        <v>-0.65200000000000002</v>
      </c>
      <c r="F16" s="384">
        <f>E16+Q_IS!F16</f>
        <v>-0.70184999999999997</v>
      </c>
      <c r="G16" s="471">
        <f>F16+Q_IS!G16</f>
        <v>-1.5568499999999998</v>
      </c>
      <c r="H16" s="383">
        <f>Q_IS!H16</f>
        <v>-0.66100000000000003</v>
      </c>
      <c r="I16" s="384">
        <f>H16+Q_IS!K16</f>
        <v>-1.121</v>
      </c>
      <c r="J16" s="384">
        <f>I16+Q_IS!N16</f>
        <v>-1.121</v>
      </c>
      <c r="K16" s="471">
        <f>J16+Q_IS!Q16</f>
        <v>-1.121</v>
      </c>
      <c r="N16" s="947"/>
    </row>
    <row r="17" spans="1:15" s="3" customFormat="1" ht="23.4" customHeight="1">
      <c r="A17" s="141" t="e">
        <f t="shared" si="0"/>
        <v>#REF!</v>
      </c>
      <c r="B17" s="405" t="str">
        <f>Q_IS!B17</f>
        <v>법인세차감전
순이익</v>
      </c>
      <c r="C17" s="385" t="str">
        <f>Q_IS!C17</f>
        <v>Earnings Before Tax</v>
      </c>
      <c r="D17" s="411">
        <f>Q_IS!D17</f>
        <v>39.550000000000004</v>
      </c>
      <c r="E17" s="412">
        <f>D17+Q_IS!E17</f>
        <v>71.460999999999999</v>
      </c>
      <c r="F17" s="412">
        <f>E17+Q_IS!F17</f>
        <v>114.30294599999999</v>
      </c>
      <c r="G17" s="667">
        <f>F17+Q_IS!G17</f>
        <v>168.63294599999998</v>
      </c>
      <c r="H17" s="411">
        <f>Q_IS!H17</f>
        <v>44.847000000000001</v>
      </c>
      <c r="I17" s="412">
        <f>H17+Q_IS!K17</f>
        <v>81.489999999999995</v>
      </c>
      <c r="J17" s="412">
        <f>I17+Q_IS!N17</f>
        <v>81.489999999999995</v>
      </c>
      <c r="K17" s="667">
        <f>J17+Q_IS!Q17</f>
        <v>81.489999999999995</v>
      </c>
      <c r="N17" s="944"/>
    </row>
    <row r="18" spans="1:15" s="395" customFormat="1" ht="13.2">
      <c r="A18" s="141" t="e">
        <f t="shared" si="0"/>
        <v>#REF!</v>
      </c>
      <c r="B18" s="386" t="str">
        <f>Q_IS!B18</f>
        <v>법인세비용</v>
      </c>
      <c r="C18" s="387" t="str">
        <f>Q_IS!C18</f>
        <v>Tax Expenses</v>
      </c>
      <c r="D18" s="388">
        <f>Q_IS!D18</f>
        <v>-9.8260000000000005</v>
      </c>
      <c r="E18" s="389">
        <f>D18+Q_IS!E18</f>
        <v>-15.264999999999993</v>
      </c>
      <c r="F18" s="389">
        <f>E18+Q_IS!F18</f>
        <v>-24.998945999999997</v>
      </c>
      <c r="G18" s="668">
        <f>F18+Q_IS!G18</f>
        <v>-36.723945999999998</v>
      </c>
      <c r="H18" s="388">
        <f>Q_IS!H18</f>
        <v>-11.691000000000001</v>
      </c>
      <c r="I18" s="389">
        <f>H18+Q_IS!K18</f>
        <v>-22.814</v>
      </c>
      <c r="J18" s="389">
        <f>I18+Q_IS!N18</f>
        <v>-22.814</v>
      </c>
      <c r="K18" s="668">
        <f>J18+Q_IS!Q18</f>
        <v>-22.814</v>
      </c>
      <c r="N18" s="948"/>
    </row>
    <row r="19" spans="1:15" s="14" customFormat="1" ht="16.2" customHeight="1">
      <c r="A19" s="141" t="e">
        <f t="shared" si="0"/>
        <v>#REF!</v>
      </c>
      <c r="B19" s="52" t="str">
        <f>Q_IS!B19</f>
        <v>지배주주 순이익</v>
      </c>
      <c r="C19" s="53" t="str">
        <f>Q_IS!C19</f>
        <v>Net Income</v>
      </c>
      <c r="D19" s="219">
        <f>Q_IS!D19</f>
        <v>29.815999999999999</v>
      </c>
      <c r="E19" s="220">
        <f>D19+Q_IS!E19</f>
        <v>56.286999999999999</v>
      </c>
      <c r="F19" s="220">
        <f>E19+Q_IS!F19</f>
        <v>89.295000000000002</v>
      </c>
      <c r="G19" s="669">
        <f>F19+Q_IS!G19</f>
        <v>131.93600000000001</v>
      </c>
      <c r="H19" s="219">
        <f>Q_IS!H19</f>
        <v>33.616</v>
      </c>
      <c r="I19" s="988">
        <f>H19+Q_IS!K19</f>
        <v>61.981999999999999</v>
      </c>
      <c r="J19" s="220">
        <f>I19+Q_IS!N19</f>
        <v>61.981999999999999</v>
      </c>
      <c r="K19" s="669">
        <f>J19+Q_IS!Q19</f>
        <v>61.981999999999999</v>
      </c>
      <c r="N19" s="943"/>
    </row>
    <row r="20" spans="1:15" s="170" customFormat="1" ht="16.2" customHeight="1">
      <c r="A20" s="141" t="e">
        <f t="shared" si="0"/>
        <v>#REF!</v>
      </c>
      <c r="B20" s="168" t="str">
        <f>Q_IS!B20</f>
        <v>(%)</v>
      </c>
      <c r="C20" s="169" t="str">
        <f>Q_IS!C20</f>
        <v>(%)</v>
      </c>
      <c r="D20" s="204">
        <f t="shared" ref="D20:F20" si="8">D19/D$4</f>
        <v>0.38665335287175961</v>
      </c>
      <c r="E20" s="205">
        <f t="shared" si="8"/>
        <v>0.35092302225103961</v>
      </c>
      <c r="F20" s="205">
        <f t="shared" si="8"/>
        <v>0.36687428613688094</v>
      </c>
      <c r="G20" s="665">
        <f>G19/G$4</f>
        <v>0.39171186898601323</v>
      </c>
      <c r="H20" s="204">
        <f t="shared" ref="H20:J20" si="9">H19/H$4</f>
        <v>0.38561514195583596</v>
      </c>
      <c r="I20" s="205">
        <f t="shared" si="9"/>
        <v>0.32166692615081216</v>
      </c>
      <c r="J20" s="205">
        <f t="shared" si="9"/>
        <v>0.32166692615081216</v>
      </c>
      <c r="K20" s="665">
        <f>K19/K$4</f>
        <v>0.32166692615081216</v>
      </c>
      <c r="N20" s="944"/>
    </row>
    <row r="21" spans="1:15" s="65" customFormat="1" ht="16.2" customHeight="1">
      <c r="A21" s="141" t="e">
        <f t="shared" si="0"/>
        <v>#REF!</v>
      </c>
      <c r="B21" s="63" t="str">
        <f>Q_IS!B21</f>
        <v>감가상각비</v>
      </c>
      <c r="C21" s="64" t="str">
        <f>Q_IS!C21</f>
        <v>DA</v>
      </c>
      <c r="D21" s="222">
        <f>Q_IS!D21</f>
        <v>3.5550000000000002</v>
      </c>
      <c r="E21" s="223">
        <f>D21+Q_IS!E21</f>
        <v>7.1989999999999998</v>
      </c>
      <c r="F21" s="223">
        <f>E21+Q_IS!F21</f>
        <v>10.917</v>
      </c>
      <c r="G21" s="670">
        <f>F21+Q_IS!G21</f>
        <v>14.608000000000001</v>
      </c>
      <c r="H21" s="222">
        <f>Q_IS!H21</f>
        <v>3.847</v>
      </c>
      <c r="I21" s="223">
        <f>H21+Q_IS!K21</f>
        <v>7.9960000000000004</v>
      </c>
      <c r="J21" s="223">
        <f>I21+Q_IS!N21</f>
        <v>7.9960000000000004</v>
      </c>
      <c r="K21" s="670">
        <f>J21+Q_IS!Q21</f>
        <v>7.9960000000000004</v>
      </c>
      <c r="N21" s="949"/>
    </row>
    <row r="22" spans="1:15" s="41" customFormat="1" ht="16.2" customHeight="1">
      <c r="A22" s="141" t="e">
        <f t="shared" si="0"/>
        <v>#REF!</v>
      </c>
      <c r="B22" s="38" t="str">
        <f>Q_IS!B22</f>
        <v>EBITDA</v>
      </c>
      <c r="C22" s="39" t="str">
        <f>Q_IS!C22</f>
        <v>EBITDA</v>
      </c>
      <c r="D22" s="182">
        <f>Q_IS!D22</f>
        <v>42.337000000000003</v>
      </c>
      <c r="E22" s="183">
        <f>D22+Q_IS!E22</f>
        <v>88.99199999999999</v>
      </c>
      <c r="F22" s="183">
        <f>E22+Q_IS!F22</f>
        <v>130.32799999999997</v>
      </c>
      <c r="G22" s="661">
        <f>F22+Q_IS!G22</f>
        <v>185.20899999999997</v>
      </c>
      <c r="H22" s="182">
        <f>Q_IS!H22</f>
        <v>41.045999999999999</v>
      </c>
      <c r="I22" s="183">
        <f>H22+Q_IS!K22</f>
        <v>89.134999999999991</v>
      </c>
      <c r="J22" s="183">
        <f>I22+Q_IS!N22</f>
        <v>89.134999999999991</v>
      </c>
      <c r="K22" s="661">
        <f>J22+Q_IS!Q22</f>
        <v>89.134999999999991</v>
      </c>
      <c r="N22" s="941"/>
    </row>
    <row r="23" spans="1:15" s="171" customFormat="1" ht="16.2" customHeight="1" thickBot="1">
      <c r="A23" s="141" t="e">
        <f t="shared" si="0"/>
        <v>#REF!</v>
      </c>
      <c r="B23" s="172" t="str">
        <f>Q_IS!B23</f>
        <v>(%)</v>
      </c>
      <c r="C23" s="172" t="str">
        <f>Q_IS!C23</f>
        <v>(%)</v>
      </c>
      <c r="D23" s="228">
        <f t="shared" ref="D23:F23" si="10">D22/D$4</f>
        <v>0.54902545614876874</v>
      </c>
      <c r="E23" s="229">
        <f t="shared" si="10"/>
        <v>0.55482334457627014</v>
      </c>
      <c r="F23" s="229">
        <f t="shared" si="10"/>
        <v>0.5354610220465581</v>
      </c>
      <c r="G23" s="671">
        <f>G22/G$4</f>
        <v>0.54987693687113837</v>
      </c>
      <c r="H23" s="228">
        <f t="shared" ref="H23:J23" si="11">H22/H$4</f>
        <v>0.47084599942644106</v>
      </c>
      <c r="I23" s="229">
        <f t="shared" si="11"/>
        <v>0.46258238621620212</v>
      </c>
      <c r="J23" s="229">
        <f t="shared" si="11"/>
        <v>0.46258238621620212</v>
      </c>
      <c r="K23" s="671">
        <f>K22/K$4</f>
        <v>0.46258238621620212</v>
      </c>
      <c r="N23" s="946"/>
    </row>
    <row r="24" spans="1:15" s="65" customFormat="1" ht="16.2" customHeight="1">
      <c r="A24" s="143"/>
      <c r="B24" s="66"/>
      <c r="C24" s="66"/>
      <c r="D24" s="224"/>
      <c r="E24" s="224"/>
      <c r="F24" s="224"/>
      <c r="G24" s="224"/>
      <c r="H24" s="224"/>
      <c r="I24" s="224"/>
      <c r="J24" s="224"/>
      <c r="K24" s="224"/>
      <c r="N24" s="949"/>
    </row>
    <row r="25" spans="1:15" s="36" customFormat="1" ht="13.8" thickBot="1">
      <c r="A25" s="142"/>
      <c r="B25" s="34" t="s">
        <v>115</v>
      </c>
      <c r="C25" s="35"/>
      <c r="D25" s="176" t="s">
        <v>228</v>
      </c>
      <c r="E25" s="176"/>
      <c r="F25" s="176"/>
      <c r="G25" s="176"/>
      <c r="H25" s="176" t="s">
        <v>228</v>
      </c>
      <c r="I25" s="176"/>
      <c r="J25" s="176"/>
      <c r="K25" s="176"/>
      <c r="N25" s="938"/>
    </row>
    <row r="26" spans="1:15" s="32" customFormat="1" ht="16.2" customHeight="1" thickBot="1">
      <c r="A26" s="141">
        <v>1</v>
      </c>
      <c r="B26" s="17" t="str">
        <f>Q_IS!B26</f>
        <v>(단위 : 십억원)</v>
      </c>
      <c r="C26" s="166" t="str">
        <f>Q_IS!C26</f>
        <v>(Unit: Billion KRW)</v>
      </c>
      <c r="D26" s="235" t="str">
        <f t="shared" ref="D26:F26" si="12">D3</f>
        <v>1Q25</v>
      </c>
      <c r="E26" s="236" t="str">
        <f t="shared" si="12"/>
        <v>2Q25 YTD</v>
      </c>
      <c r="F26" s="236" t="str">
        <f t="shared" si="12"/>
        <v>3Q25 YTD</v>
      </c>
      <c r="G26" s="236" t="str">
        <f>G3</f>
        <v>4Q25 YTD</v>
      </c>
      <c r="H26" s="235" t="str">
        <f t="shared" ref="H26:J26" si="13">H3</f>
        <v>1Q26</v>
      </c>
      <c r="I26" s="236" t="str">
        <f t="shared" si="13"/>
        <v>2Q26 YTD</v>
      </c>
      <c r="J26" s="236" t="str">
        <f t="shared" si="13"/>
        <v>3Q26 YTD</v>
      </c>
      <c r="K26" s="236" t="str">
        <f>K3</f>
        <v>4Q26 YTD</v>
      </c>
      <c r="N26" s="940"/>
    </row>
    <row r="27" spans="1:15" s="131" customFormat="1" ht="16.2" customHeight="1" thickBot="1">
      <c r="A27" s="147"/>
      <c r="B27" s="904" t="str">
        <f>Q_IS!B27</f>
        <v>연결매출총계</v>
      </c>
      <c r="C27" s="904" t="str">
        <f>Q_IS!C27</f>
        <v>Total Consolidated Revenue</v>
      </c>
      <c r="D27" s="901">
        <f>Q_IS!D27</f>
        <v>77.113</v>
      </c>
      <c r="E27" s="905">
        <f>D27+Q_IS!E27</f>
        <v>160.39699999999999</v>
      </c>
      <c r="F27" s="771">
        <f>E27+Q_IS!F27</f>
        <v>243.398</v>
      </c>
      <c r="G27" s="771">
        <f>F27+Q_IS!G27</f>
        <v>336.82299999999998</v>
      </c>
      <c r="H27" s="998">
        <f>Q_IS!H27</f>
        <v>87.172999999999988</v>
      </c>
      <c r="I27" s="999">
        <f>+H27+Q_IS!K27</f>
        <v>192.68899999999999</v>
      </c>
      <c r="J27" s="871"/>
      <c r="K27" s="554">
        <f>IFERROR(K7/K$38,"")</f>
        <v>0.80511053101522467</v>
      </c>
      <c r="L27" s="80"/>
      <c r="N27" s="951">
        <f>+H27+Q_IS!K27</f>
        <v>192.68899999999999</v>
      </c>
    </row>
    <row r="28" spans="1:15" s="14" customFormat="1" ht="16.2" customHeight="1">
      <c r="A28" s="141">
        <f>A26+1</f>
        <v>2</v>
      </c>
      <c r="B28" s="67" t="str">
        <f>Q_IS!B28</f>
        <v>장비</v>
      </c>
      <c r="C28" s="68" t="str">
        <f>Q_IS!C28</f>
        <v>Device</v>
      </c>
      <c r="D28" s="69">
        <f>Q_IS!D28</f>
        <v>35.067</v>
      </c>
      <c r="E28" s="70">
        <f>D28+Q_IS!E28</f>
        <v>80.557000000000002</v>
      </c>
      <c r="F28" s="70">
        <f>E28+Q_IS!F28</f>
        <v>123.504</v>
      </c>
      <c r="G28" s="71">
        <f>F28+Q_IS!G28</f>
        <v>173.97</v>
      </c>
      <c r="H28" s="1000">
        <f>Q_IS!H28</f>
        <v>42.161999999999999</v>
      </c>
      <c r="I28" s="1001">
        <f>H28+Q_IS!K28</f>
        <v>91.384</v>
      </c>
      <c r="J28" s="70">
        <f>I28+Q_IS!N28</f>
        <v>91.384</v>
      </c>
      <c r="K28" s="71">
        <f>J28+Q_IS!Q28</f>
        <v>91.384</v>
      </c>
      <c r="N28" s="951">
        <f>+H28+Q_IS!K28</f>
        <v>91.384</v>
      </c>
      <c r="O28" s="14" t="s">
        <v>456</v>
      </c>
    </row>
    <row r="29" spans="1:15" s="80" customFormat="1" ht="16.2" customHeight="1">
      <c r="A29" s="141">
        <f t="shared" ref="A29:A43" si="14">A28+1</f>
        <v>3</v>
      </c>
      <c r="B29" s="74" t="str">
        <f>Q_IS!B29</f>
        <v>수출</v>
      </c>
      <c r="C29" s="75" t="str">
        <f>Q_IS!C29</f>
        <v>Global</v>
      </c>
      <c r="D29" s="244">
        <f>Q_IS!D29</f>
        <v>25.904</v>
      </c>
      <c r="E29" s="245">
        <f>D29+Q_IS!E29</f>
        <v>58.763999999999996</v>
      </c>
      <c r="F29" s="245">
        <f>E29+Q_IS!F29</f>
        <v>90.102000000000004</v>
      </c>
      <c r="G29" s="246">
        <f>F29+Q_IS!G29</f>
        <v>128.04400000000001</v>
      </c>
      <c r="H29" s="1002">
        <f>Q_IS!H29</f>
        <v>35.6</v>
      </c>
      <c r="I29" s="1003">
        <f>H29+Q_IS!K29</f>
        <v>77.171999999999997</v>
      </c>
      <c r="J29" s="245">
        <f>I29+Q_IS!N29</f>
        <v>77.171999999999997</v>
      </c>
      <c r="K29" s="246">
        <f>J29+Q_IS!Q29</f>
        <v>77.171999999999997</v>
      </c>
      <c r="N29" s="951">
        <f>+H29+Q_IS!K29</f>
        <v>77.171999999999997</v>
      </c>
    </row>
    <row r="30" spans="1:15" s="80" customFormat="1" ht="16.2" customHeight="1">
      <c r="A30" s="141">
        <f t="shared" si="14"/>
        <v>4</v>
      </c>
      <c r="B30" s="74" t="str">
        <f>Q_IS!B30</f>
        <v>내수</v>
      </c>
      <c r="C30" s="75" t="str">
        <f>Q_IS!C30</f>
        <v>Korea</v>
      </c>
      <c r="D30" s="244">
        <f>Q_IS!D30</f>
        <v>9.1630000000000003</v>
      </c>
      <c r="E30" s="245">
        <f>D30+Q_IS!E30</f>
        <v>21.792999999999999</v>
      </c>
      <c r="F30" s="245">
        <f>E30+Q_IS!F30</f>
        <v>33.402000000000001</v>
      </c>
      <c r="G30" s="246">
        <f>F30+Q_IS!G30</f>
        <v>45.926000000000002</v>
      </c>
      <c r="H30" s="1002">
        <f>Q_IS!H30</f>
        <v>6.5620000000000003</v>
      </c>
      <c r="I30" s="1003">
        <f>H30+Q_IS!K30</f>
        <v>14.212</v>
      </c>
      <c r="J30" s="245">
        <f>I30+Q_IS!N30</f>
        <v>14.212</v>
      </c>
      <c r="K30" s="246">
        <f>J30+Q_IS!Q30</f>
        <v>14.212</v>
      </c>
      <c r="N30" s="951">
        <f>+H30+Q_IS!K30</f>
        <v>14.212</v>
      </c>
    </row>
    <row r="31" spans="1:15" s="14" customFormat="1" ht="16.2" customHeight="1">
      <c r="A31" s="141">
        <f t="shared" si="14"/>
        <v>5</v>
      </c>
      <c r="B31" s="67" t="str">
        <f>Q_IS!B31</f>
        <v>소모품</v>
      </c>
      <c r="C31" s="68" t="str">
        <f>Q_IS!C31</f>
        <v>Consumable</v>
      </c>
      <c r="D31" s="69">
        <f>Q_IS!D31</f>
        <v>40.986000000000004</v>
      </c>
      <c r="E31" s="70">
        <f>D31+Q_IS!E31</f>
        <v>76.194000000000003</v>
      </c>
      <c r="F31" s="70">
        <f>E31+Q_IS!F31</f>
        <v>113.503</v>
      </c>
      <c r="G31" s="71">
        <f>F31+Q_IS!G31</f>
        <v>154.62299999999999</v>
      </c>
      <c r="H31" s="1000">
        <f>Q_IS!H31</f>
        <v>40.997</v>
      </c>
      <c r="I31" s="1004">
        <f>H31+Q_IS!K31</f>
        <v>80.231999999999999</v>
      </c>
      <c r="J31" s="70">
        <f>I31+Q_IS!N31</f>
        <v>80.231999999999999</v>
      </c>
      <c r="K31" s="71">
        <f>J31+Q_IS!Q31</f>
        <v>80.231999999999999</v>
      </c>
      <c r="N31" s="951">
        <f>+H31+Q_IS!K31</f>
        <v>80.231999999999999</v>
      </c>
    </row>
    <row r="32" spans="1:15" s="80" customFormat="1" ht="16.2" customHeight="1">
      <c r="A32" s="141">
        <f t="shared" si="14"/>
        <v>6</v>
      </c>
      <c r="B32" s="74" t="str">
        <f>Q_IS!B32</f>
        <v>수출</v>
      </c>
      <c r="C32" s="75" t="str">
        <f>Q_IS!C32</f>
        <v>Global</v>
      </c>
      <c r="D32" s="244">
        <f>Q_IS!D32</f>
        <v>26.067</v>
      </c>
      <c r="E32" s="245">
        <f>D32+Q_IS!E32</f>
        <v>46.194000000000003</v>
      </c>
      <c r="F32" s="245">
        <f>E32+Q_IS!F32</f>
        <v>67.733000000000004</v>
      </c>
      <c r="G32" s="246">
        <f>F32+Q_IS!G32</f>
        <v>95.459000000000003</v>
      </c>
      <c r="H32" s="1002">
        <f>Q_IS!H32</f>
        <v>26.077999999999999</v>
      </c>
      <c r="I32" s="1003">
        <f>H32+Q_IS!K32</f>
        <v>52.506</v>
      </c>
      <c r="J32" s="245">
        <f>I32+Q_IS!N32</f>
        <v>52.506</v>
      </c>
      <c r="K32" s="246">
        <f>J32+Q_IS!Q32</f>
        <v>52.506</v>
      </c>
      <c r="N32" s="951">
        <f>+H32+Q_IS!K32</f>
        <v>52.506</v>
      </c>
    </row>
    <row r="33" spans="1:14" s="80" customFormat="1" ht="16.2" customHeight="1">
      <c r="A33" s="141">
        <f t="shared" si="14"/>
        <v>7</v>
      </c>
      <c r="B33" s="74" t="str">
        <f>Q_IS!B33</f>
        <v>내수</v>
      </c>
      <c r="C33" s="75" t="str">
        <f>Q_IS!C33</f>
        <v>Korea</v>
      </c>
      <c r="D33" s="244">
        <f>Q_IS!D33</f>
        <v>14.919</v>
      </c>
      <c r="E33" s="245">
        <f>D33+Q_IS!E33</f>
        <v>30</v>
      </c>
      <c r="F33" s="245">
        <f>E33+Q_IS!F33</f>
        <v>45.769999999999996</v>
      </c>
      <c r="G33" s="246">
        <f>F33+Q_IS!G33</f>
        <v>59.163999999999994</v>
      </c>
      <c r="H33" s="1002">
        <f>Q_IS!H33</f>
        <v>14.919</v>
      </c>
      <c r="I33" s="1003">
        <f>H33+Q_IS!K33</f>
        <v>27.725999999999999</v>
      </c>
      <c r="J33" s="245">
        <f>I33+Q_IS!N33</f>
        <v>27.725999999999999</v>
      </c>
      <c r="K33" s="246">
        <f>J33+Q_IS!Q33</f>
        <v>27.725999999999999</v>
      </c>
      <c r="N33" s="951">
        <f>+H33+Q_IS!K33</f>
        <v>27.725999999999999</v>
      </c>
    </row>
    <row r="34" spans="1:14" s="14" customFormat="1" ht="13.2">
      <c r="A34" s="141">
        <f t="shared" si="14"/>
        <v>8</v>
      </c>
      <c r="B34" s="67" t="str">
        <f>Q_IS!B34</f>
        <v>Homecare</v>
      </c>
      <c r="C34" s="68" t="str">
        <f>Q_IS!C34</f>
        <v>Homecare</v>
      </c>
      <c r="D34" s="69">
        <f>Q_IS!D34</f>
        <v>0.82400000000000007</v>
      </c>
      <c r="E34" s="70">
        <f>D34+Q_IS!E34</f>
        <v>3.2</v>
      </c>
      <c r="F34" s="70">
        <f>E34+Q_IS!F34</f>
        <v>5.7010000000000005</v>
      </c>
      <c r="G34" s="71">
        <f>F34+Q_IS!G34</f>
        <v>7.3030000000000008</v>
      </c>
      <c r="H34" s="1000">
        <f>Q_IS!H34</f>
        <v>2.0640000000000001</v>
      </c>
      <c r="I34" s="1004">
        <f>H34+Q_IS!K34</f>
        <v>3.9489999999999998</v>
      </c>
      <c r="J34" s="70">
        <f>I34+Q_IS!N34</f>
        <v>3.9489999999999998</v>
      </c>
      <c r="K34" s="71">
        <f>J34+Q_IS!Q34</f>
        <v>3.9489999999999998</v>
      </c>
      <c r="N34" s="951">
        <f>+H34+Q_IS!K34</f>
        <v>3.9489999999999998</v>
      </c>
    </row>
    <row r="35" spans="1:14" s="80" customFormat="1" ht="16.2" customHeight="1">
      <c r="A35" s="141">
        <f t="shared" si="14"/>
        <v>9</v>
      </c>
      <c r="B35" s="74" t="str">
        <f>Q_IS!B35</f>
        <v>수출</v>
      </c>
      <c r="C35" s="75" t="str">
        <f>Q_IS!C35</f>
        <v>Global</v>
      </c>
      <c r="D35" s="244">
        <f>Q_IS!D35</f>
        <v>0.56200000000000006</v>
      </c>
      <c r="E35" s="245">
        <f>D35+Q_IS!E35</f>
        <v>0.97100000000000009</v>
      </c>
      <c r="F35" s="245">
        <f>E35+Q_IS!F35</f>
        <v>1.0880000000000001</v>
      </c>
      <c r="G35" s="246">
        <f>F35+Q_IS!G35</f>
        <v>1.1680000000000001</v>
      </c>
      <c r="H35" s="1002">
        <f>Q_IS!H35</f>
        <v>0.17399999999999999</v>
      </c>
      <c r="I35" s="1003">
        <f>H35+Q_IS!K35</f>
        <v>0.31799999999999995</v>
      </c>
      <c r="J35" s="245">
        <f>I35+Q_IS!N35</f>
        <v>0.31799999999999995</v>
      </c>
      <c r="K35" s="246">
        <f>J35+Q_IS!Q35</f>
        <v>0.31799999999999995</v>
      </c>
      <c r="N35" s="951">
        <f>+H35+Q_IS!K35</f>
        <v>0.31799999999999995</v>
      </c>
    </row>
    <row r="36" spans="1:14" s="80" customFormat="1" ht="16.2" customHeight="1">
      <c r="A36" s="141">
        <f t="shared" si="14"/>
        <v>10</v>
      </c>
      <c r="B36" s="74" t="str">
        <f>Q_IS!B36</f>
        <v>내수</v>
      </c>
      <c r="C36" s="75" t="str">
        <f>Q_IS!C36</f>
        <v>Korea</v>
      </c>
      <c r="D36" s="244">
        <f>Q_IS!D36</f>
        <v>0.26200000000000001</v>
      </c>
      <c r="E36" s="245">
        <f>D36+Q_IS!E36</f>
        <v>2.2290000000000001</v>
      </c>
      <c r="F36" s="245">
        <f>E36+Q_IS!F36</f>
        <v>4.6129999999999995</v>
      </c>
      <c r="G36" s="246">
        <f>F36+Q_IS!G36</f>
        <v>6.1349999999999998</v>
      </c>
      <c r="H36" s="1002">
        <f>Q_IS!H36</f>
        <v>1.89</v>
      </c>
      <c r="I36" s="1003">
        <f>H36+Q_IS!K36</f>
        <v>3.6310000000000002</v>
      </c>
      <c r="J36" s="245">
        <f>I36+Q_IS!N36</f>
        <v>3.6310000000000002</v>
      </c>
      <c r="K36" s="246">
        <f>J36+Q_IS!Q36</f>
        <v>3.6310000000000002</v>
      </c>
      <c r="N36" s="951">
        <f>+H36+Q_IS!K36</f>
        <v>3.6310000000000002</v>
      </c>
    </row>
    <row r="37" spans="1:14" s="14" customFormat="1" ht="16.2" customHeight="1" thickBot="1">
      <c r="A37" s="141">
        <f t="shared" si="14"/>
        <v>11</v>
      </c>
      <c r="B37" s="67" t="str">
        <f>Q_IS!B37</f>
        <v>임대료</v>
      </c>
      <c r="C37" s="68" t="str">
        <f>Q_IS!C37</f>
        <v>Rentals</v>
      </c>
      <c r="D37" s="69">
        <f>Q_IS!D37</f>
        <v>0.23599999999999999</v>
      </c>
      <c r="E37" s="70">
        <f>D37+Q_IS!E37</f>
        <v>0.44599999999999995</v>
      </c>
      <c r="F37" s="70">
        <f>E37+Q_IS!F37</f>
        <v>0.69</v>
      </c>
      <c r="G37" s="71">
        <f>F37+Q_IS!G37</f>
        <v>0.92699999999999994</v>
      </c>
      <c r="H37" s="1000">
        <f>Q_IS!H37</f>
        <v>0.15</v>
      </c>
      <c r="I37" s="1004">
        <f>H37+Q_IS!K37</f>
        <v>0.26800000000000002</v>
      </c>
      <c r="J37" s="70">
        <f>I37+Q_IS!N37</f>
        <v>0.26800000000000002</v>
      </c>
      <c r="K37" s="71">
        <f>J37+Q_IS!Q37</f>
        <v>0.26800000000000002</v>
      </c>
      <c r="N37" s="951">
        <f>+H37+Q_IS!K37</f>
        <v>0.26800000000000002</v>
      </c>
    </row>
    <row r="38" spans="1:14" s="41" customFormat="1" ht="16.2" customHeight="1" thickBot="1">
      <c r="A38" s="141">
        <f t="shared" si="14"/>
        <v>12</v>
      </c>
      <c r="B38" s="851" t="str">
        <f>Q_IS!B38</f>
        <v>기존 사업 기준</v>
      </c>
      <c r="C38" s="852" t="str">
        <f>Q_IS!C38</f>
        <v>Total</v>
      </c>
      <c r="D38" s="901">
        <f>Q_IS!D38</f>
        <v>77.113</v>
      </c>
      <c r="E38" s="902">
        <f>D38+Q_IS!E38</f>
        <v>160.39699999999999</v>
      </c>
      <c r="F38" s="902">
        <f>E38+Q_IS!F38</f>
        <v>243.398</v>
      </c>
      <c r="G38" s="903">
        <f>F38+Q_IS!G38</f>
        <v>336.82299999999998</v>
      </c>
      <c r="H38" s="1005">
        <f>Q_IS!H38</f>
        <v>85.37299999999999</v>
      </c>
      <c r="I38" s="1006">
        <f>H38+Q_IS!K38</f>
        <v>175.833</v>
      </c>
      <c r="J38" s="249">
        <f>I38+Q_IS!N38</f>
        <v>175.833</v>
      </c>
      <c r="K38" s="250">
        <f>J38+Q_IS!Q38</f>
        <v>175.833</v>
      </c>
      <c r="N38" s="951">
        <f>+H38+Q_IS!K38</f>
        <v>175.833</v>
      </c>
    </row>
    <row r="39" spans="1:14" s="80" customFormat="1" ht="16.2" customHeight="1">
      <c r="A39" s="141">
        <f t="shared" si="14"/>
        <v>13</v>
      </c>
      <c r="B39" s="74" t="str">
        <f>Q_IS!B39</f>
        <v>수출</v>
      </c>
      <c r="C39" s="75" t="str">
        <f>Q_IS!C39</f>
        <v>Global</v>
      </c>
      <c r="D39" s="244">
        <f>Q_IS!D39</f>
        <v>52.533000000000001</v>
      </c>
      <c r="E39" s="245">
        <f>D39+Q_IS!E39</f>
        <v>105.929</v>
      </c>
      <c r="F39" s="245">
        <f>E39+Q_IS!F39</f>
        <v>158.923</v>
      </c>
      <c r="G39" s="246">
        <f>F39+Q_IS!G39</f>
        <v>224.67099999999999</v>
      </c>
      <c r="H39" s="1002">
        <f>Q_IS!H39</f>
        <v>61.851999999999997</v>
      </c>
      <c r="I39" s="1003">
        <f>H39+Q_IS!K39</f>
        <v>129.99600000000001</v>
      </c>
      <c r="J39" s="245">
        <f>I39+Q_IS!N39</f>
        <v>129.99600000000001</v>
      </c>
      <c r="K39" s="246">
        <f>J39+Q_IS!Q39</f>
        <v>129.99600000000001</v>
      </c>
      <c r="N39" s="951">
        <f>+H39+Q_IS!K39</f>
        <v>129.99600000000001</v>
      </c>
    </row>
    <row r="40" spans="1:14" ht="16.2" customHeight="1" thickBot="1">
      <c r="A40" s="141">
        <f t="shared" si="14"/>
        <v>14</v>
      </c>
      <c r="B40" s="74" t="str">
        <f>Q_IS!B40</f>
        <v>내수</v>
      </c>
      <c r="C40" s="75" t="str">
        <f>Q_IS!C40</f>
        <v>Korea</v>
      </c>
      <c r="D40" s="255">
        <f>Q_IS!D40</f>
        <v>24.580000000000002</v>
      </c>
      <c r="E40" s="256">
        <f>D40+Q_IS!E40</f>
        <v>54.468000000000004</v>
      </c>
      <c r="F40" s="256">
        <f>E40+Q_IS!F40</f>
        <v>84.474999999999994</v>
      </c>
      <c r="G40" s="257">
        <f>F40+Q_IS!G40</f>
        <v>112.15199999999999</v>
      </c>
      <c r="H40" s="1007">
        <f>Q_IS!H40</f>
        <v>23.521000000000001</v>
      </c>
      <c r="I40" s="1008">
        <f>H40+Q_IS!K40</f>
        <v>45.837000000000003</v>
      </c>
      <c r="J40" s="256">
        <f>I40+Q_IS!N40</f>
        <v>45.837000000000003</v>
      </c>
      <c r="K40" s="257">
        <f>J40+Q_IS!Q40</f>
        <v>45.837000000000003</v>
      </c>
      <c r="N40" s="951">
        <f>+H40+Q_IS!K40</f>
        <v>45.837000000000003</v>
      </c>
    </row>
    <row r="41" spans="1:14" ht="16.2" customHeight="1" thickBot="1">
      <c r="B41" s="864" t="s">
        <v>501</v>
      </c>
      <c r="C41" s="865" t="s">
        <v>498</v>
      </c>
      <c r="D41" s="769" t="s">
        <v>3</v>
      </c>
      <c r="E41" s="770" t="s">
        <v>3</v>
      </c>
      <c r="F41" s="989" t="s">
        <v>3</v>
      </c>
      <c r="G41" s="989" t="s">
        <v>3</v>
      </c>
      <c r="H41" s="998">
        <v>1.8</v>
      </c>
      <c r="I41" s="1009">
        <f>H41+Q_IS!K41</f>
        <v>16.855999999999998</v>
      </c>
      <c r="J41" s="768"/>
      <c r="K41" s="259"/>
      <c r="L41" s="442"/>
      <c r="N41" s="951">
        <f>+H41+Q_IS!K41</f>
        <v>16.855999999999998</v>
      </c>
    </row>
    <row r="42" spans="1:14" ht="16.2" customHeight="1" thickBot="1">
      <c r="A42" s="141">
        <f>A40+1</f>
        <v>15</v>
      </c>
      <c r="B42" s="132" t="str">
        <f>Q_IS!B42</f>
        <v>브라질</v>
      </c>
      <c r="C42" s="708" t="str">
        <f>Q_IS!C42</f>
        <v>Brazil</v>
      </c>
      <c r="D42" s="712">
        <f>+Q_IS!D42</f>
        <v>11.808999999999999</v>
      </c>
      <c r="E42" s="713">
        <f>+D42+Q_IS!E42</f>
        <v>16.355999999999998</v>
      </c>
      <c r="F42" s="710" t="s">
        <v>353</v>
      </c>
      <c r="G42" s="711" t="s">
        <v>353</v>
      </c>
      <c r="H42" s="709" t="s">
        <v>353</v>
      </c>
      <c r="I42" s="710" t="s">
        <v>353</v>
      </c>
      <c r="J42" s="710" t="s">
        <v>353</v>
      </c>
      <c r="K42" s="711" t="s">
        <v>353</v>
      </c>
    </row>
    <row r="43" spans="1:14" ht="16.2" customHeight="1">
      <c r="A43" s="141">
        <f t="shared" si="14"/>
        <v>16</v>
      </c>
      <c r="B43" s="8"/>
      <c r="C43" s="8"/>
      <c r="D43" s="8"/>
      <c r="E43" s="8"/>
      <c r="F43" s="8"/>
      <c r="G43" s="8"/>
      <c r="H43" s="8"/>
      <c r="I43" s="8"/>
      <c r="J43" s="8"/>
      <c r="K43" s="8"/>
    </row>
    <row r="44" spans="1:14" s="33" customFormat="1" ht="16.2" customHeight="1">
      <c r="A44" s="141"/>
      <c r="B44" s="136"/>
      <c r="C44" s="85"/>
      <c r="D44" s="261"/>
      <c r="E44" s="261"/>
      <c r="F44" s="261"/>
      <c r="G44" s="261"/>
      <c r="H44" s="261"/>
      <c r="I44" s="261"/>
      <c r="J44" s="261"/>
      <c r="K44" s="261"/>
      <c r="N44" s="952"/>
    </row>
    <row r="45" spans="1:14" s="36" customFormat="1" ht="13.8" thickBot="1">
      <c r="A45" s="142"/>
      <c r="B45" s="34" t="s">
        <v>188</v>
      </c>
      <c r="C45" s="35"/>
      <c r="D45" s="176" t="s">
        <v>228</v>
      </c>
      <c r="E45" s="176"/>
      <c r="F45" s="176"/>
      <c r="G45" s="176"/>
      <c r="H45" s="176" t="s">
        <v>228</v>
      </c>
      <c r="I45" s="176"/>
      <c r="J45" s="176"/>
      <c r="K45" s="176"/>
      <c r="N45" s="938"/>
    </row>
    <row r="46" spans="1:14" s="32" customFormat="1" ht="16.2" customHeight="1">
      <c r="A46" s="144"/>
      <c r="B46" s="37" t="str">
        <f>Q_IS!B46</f>
        <v>(단위 : %)</v>
      </c>
      <c r="C46" s="166" t="str">
        <f>Q_IS!C46</f>
        <v>(Unit: %)</v>
      </c>
      <c r="D46" s="237" t="str">
        <f>D26</f>
        <v>1Q25</v>
      </c>
      <c r="E46" s="239" t="str">
        <f>E26</f>
        <v>2Q25 YTD</v>
      </c>
      <c r="F46" s="239" t="str">
        <f>F26</f>
        <v>3Q25 YTD</v>
      </c>
      <c r="G46" s="676">
        <v>2025</v>
      </c>
      <c r="H46" s="237" t="str">
        <f>H26</f>
        <v>1Q26</v>
      </c>
      <c r="I46" s="239" t="str">
        <f>I26</f>
        <v>2Q26 YTD</v>
      </c>
      <c r="J46" s="239" t="str">
        <f>J26</f>
        <v>3Q26 YTD</v>
      </c>
      <c r="K46" s="714" t="str">
        <f>+K26</f>
        <v>4Q26 YTD</v>
      </c>
      <c r="N46" s="940"/>
    </row>
    <row r="47" spans="1:14" s="139" customFormat="1" ht="16.2" customHeight="1">
      <c r="A47" s="146"/>
      <c r="B47" s="137" t="str">
        <f>Q_IS!B47</f>
        <v>연결매출총계</v>
      </c>
      <c r="C47" s="138" t="str">
        <f>Q_IS!C47</f>
        <v>Total Consolidated Revenue</v>
      </c>
      <c r="D47" s="268">
        <f>IFERROR(D27/D$27,"")</f>
        <v>1</v>
      </c>
      <c r="E47" s="269">
        <f t="shared" ref="E47:H47" si="15">IFERROR(E27/E$27,"")</f>
        <v>1</v>
      </c>
      <c r="F47" s="269">
        <f t="shared" si="15"/>
        <v>1</v>
      </c>
      <c r="G47" s="270">
        <f t="shared" si="15"/>
        <v>1</v>
      </c>
      <c r="H47" s="1010">
        <f t="shared" si="15"/>
        <v>1</v>
      </c>
      <c r="I47" s="1011">
        <f>IFERROR(I27/I$27,"")</f>
        <v>1</v>
      </c>
      <c r="J47" s="269">
        <f t="shared" ref="J47:K60" si="16">IFERROR(J27/J$38,"")</f>
        <v>0</v>
      </c>
      <c r="K47" s="270">
        <f t="shared" si="16"/>
        <v>4.5788363448000359E-3</v>
      </c>
      <c r="N47" s="953" t="s">
        <v>527</v>
      </c>
    </row>
    <row r="48" spans="1:14" s="14" customFormat="1" ht="16.2" customHeight="1">
      <c r="A48" s="142"/>
      <c r="B48" s="67" t="str">
        <f>Q_IS!B48</f>
        <v>장비</v>
      </c>
      <c r="C48" s="68" t="str">
        <f>Q_IS!C48</f>
        <v>Device</v>
      </c>
      <c r="D48" s="87">
        <f t="shared" ref="D48:G57" si="17">IFERROR(D28/D$38,"")</f>
        <v>0.45474822662845438</v>
      </c>
      <c r="E48" s="88">
        <f t="shared" si="17"/>
        <v>0.502235079209711</v>
      </c>
      <c r="F48" s="88">
        <f t="shared" si="17"/>
        <v>0.50741583743498309</v>
      </c>
      <c r="G48" s="89">
        <f t="shared" si="17"/>
        <v>0.51650273288938109</v>
      </c>
      <c r="H48" s="1012">
        <f>IFERROR(H28/H$27,"")</f>
        <v>0.4836589310910489</v>
      </c>
      <c r="I48" s="1013">
        <f t="shared" ref="I48:I61" si="18">IFERROR(I28/I$27,"")</f>
        <v>0.47425644432219799</v>
      </c>
      <c r="J48" s="88">
        <f t="shared" si="16"/>
        <v>0.51972041653159529</v>
      </c>
      <c r="K48" s="89">
        <f t="shared" si="16"/>
        <v>0.51972041653159529</v>
      </c>
      <c r="N48" s="990">
        <v>0.48371869655867117</v>
      </c>
    </row>
    <row r="49" spans="1:14" s="91" customFormat="1" ht="16.2" customHeight="1">
      <c r="A49" s="145"/>
      <c r="B49" s="74" t="str">
        <f>Q_IS!B49</f>
        <v>수출</v>
      </c>
      <c r="C49" s="75" t="str">
        <f>Q_IS!C49</f>
        <v>Global</v>
      </c>
      <c r="D49" s="264">
        <f t="shared" si="17"/>
        <v>0.33592260708311178</v>
      </c>
      <c r="E49" s="265">
        <f t="shared" si="17"/>
        <v>0.36636595447545778</v>
      </c>
      <c r="F49" s="265">
        <f t="shared" si="17"/>
        <v>0.37018381416445495</v>
      </c>
      <c r="G49" s="266">
        <f t="shared" si="17"/>
        <v>0.38015218675684265</v>
      </c>
      <c r="H49" s="1014">
        <f t="shared" ref="H49:H61" si="19">IFERROR(H29/H$27,"")</f>
        <v>0.40838332970071017</v>
      </c>
      <c r="I49" s="1015">
        <f t="shared" si="18"/>
        <v>0.40050028802889631</v>
      </c>
      <c r="J49" s="265">
        <f t="shared" si="16"/>
        <v>0.43889372302127588</v>
      </c>
      <c r="K49" s="266">
        <f t="shared" si="16"/>
        <v>0.43889372302127588</v>
      </c>
      <c r="N49" s="991">
        <v>0.40685688851406748</v>
      </c>
    </row>
    <row r="50" spans="1:14" s="91" customFormat="1" ht="16.2" customHeight="1">
      <c r="A50" s="145"/>
      <c r="B50" s="74" t="str">
        <f>Q_IS!B50</f>
        <v>내수</v>
      </c>
      <c r="C50" s="75" t="str">
        <f>Q_IS!C50</f>
        <v>Korea</v>
      </c>
      <c r="D50" s="264">
        <f t="shared" si="17"/>
        <v>0.11882561954534256</v>
      </c>
      <c r="E50" s="265">
        <f t="shared" si="17"/>
        <v>0.13586912473425314</v>
      </c>
      <c r="F50" s="265">
        <f t="shared" si="17"/>
        <v>0.13723202327052811</v>
      </c>
      <c r="G50" s="266">
        <f t="shared" si="17"/>
        <v>0.13635054613253847</v>
      </c>
      <c r="H50" s="1014">
        <f t="shared" si="19"/>
        <v>7.5275601390338759E-2</v>
      </c>
      <c r="I50" s="1015">
        <f t="shared" si="18"/>
        <v>7.3756156293301636E-2</v>
      </c>
      <c r="J50" s="265">
        <f t="shared" si="16"/>
        <v>8.0826693510319444E-2</v>
      </c>
      <c r="K50" s="266">
        <f t="shared" si="16"/>
        <v>8.0826693510319444E-2</v>
      </c>
      <c r="N50" s="991">
        <v>7.6861808044603741E-2</v>
      </c>
    </row>
    <row r="51" spans="1:14" s="14" customFormat="1" ht="16.2" customHeight="1">
      <c r="A51" s="142"/>
      <c r="B51" s="67" t="str">
        <f>Q_IS!B51</f>
        <v>소모품</v>
      </c>
      <c r="C51" s="68" t="str">
        <f>Q_IS!C51</f>
        <v>Consumable</v>
      </c>
      <c r="D51" s="87">
        <f t="shared" si="17"/>
        <v>0.53150571239609412</v>
      </c>
      <c r="E51" s="88">
        <f t="shared" si="17"/>
        <v>0.47503382232834784</v>
      </c>
      <c r="F51" s="88">
        <f t="shared" si="17"/>
        <v>0.46632675699882498</v>
      </c>
      <c r="G51" s="89">
        <f t="shared" si="17"/>
        <v>0.45906306873342972</v>
      </c>
      <c r="H51" s="1012">
        <f t="shared" si="19"/>
        <v>0.47029470134101165</v>
      </c>
      <c r="I51" s="1013">
        <f t="shared" si="18"/>
        <v>0.41638080014946366</v>
      </c>
      <c r="J51" s="88">
        <f t="shared" si="16"/>
        <v>0.45629659961440683</v>
      </c>
      <c r="K51" s="89">
        <f t="shared" si="16"/>
        <v>0.45629659961440683</v>
      </c>
      <c r="N51" s="990">
        <v>0.48923559866001354</v>
      </c>
    </row>
    <row r="52" spans="1:14" s="91" customFormat="1" ht="16.2" customHeight="1">
      <c r="A52" s="145"/>
      <c r="B52" s="74" t="str">
        <f>Q_IS!B52</f>
        <v>수출</v>
      </c>
      <c r="C52" s="75" t="str">
        <f>Q_IS!C52</f>
        <v>Global</v>
      </c>
      <c r="D52" s="264">
        <f t="shared" si="17"/>
        <v>0.33803638815763881</v>
      </c>
      <c r="E52" s="265">
        <f t="shared" si="17"/>
        <v>0.28799790519772817</v>
      </c>
      <c r="F52" s="265">
        <f t="shared" si="17"/>
        <v>0.27828084043418599</v>
      </c>
      <c r="G52" s="266">
        <f t="shared" si="17"/>
        <v>0.28340998090985475</v>
      </c>
      <c r="H52" s="1014">
        <f t="shared" si="19"/>
        <v>0.29915226044761567</v>
      </c>
      <c r="I52" s="1015">
        <f t="shared" si="18"/>
        <v>0.2724909050334996</v>
      </c>
      <c r="J52" s="265">
        <f t="shared" si="16"/>
        <v>0.29861288836566513</v>
      </c>
      <c r="K52" s="266">
        <f t="shared" si="16"/>
        <v>0.29861288836566513</v>
      </c>
      <c r="N52" s="991">
        <v>0.31448684611239952</v>
      </c>
    </row>
    <row r="53" spans="1:14" s="91" customFormat="1" ht="16.2" customHeight="1">
      <c r="A53" s="145"/>
      <c r="B53" s="74" t="str">
        <f>Q_IS!B53</f>
        <v>내수</v>
      </c>
      <c r="C53" s="75" t="str">
        <f>Q_IS!C53</f>
        <v>Korea</v>
      </c>
      <c r="D53" s="264">
        <f t="shared" si="17"/>
        <v>0.19346932423845525</v>
      </c>
      <c r="E53" s="265">
        <f t="shared" si="17"/>
        <v>0.18703591713061965</v>
      </c>
      <c r="F53" s="265">
        <f t="shared" si="17"/>
        <v>0.18804591656463898</v>
      </c>
      <c r="G53" s="266">
        <f t="shared" si="17"/>
        <v>0.175653087823575</v>
      </c>
      <c r="H53" s="1014">
        <f t="shared" si="19"/>
        <v>0.17114244089339592</v>
      </c>
      <c r="I53" s="1015">
        <f t="shared" si="18"/>
        <v>0.14388989511596406</v>
      </c>
      <c r="J53" s="265">
        <f t="shared" si="16"/>
        <v>0.1576837112487417</v>
      </c>
      <c r="K53" s="266">
        <f t="shared" si="16"/>
        <v>0.1576837112487417</v>
      </c>
      <c r="N53" s="991">
        <v>0.17474875254761402</v>
      </c>
    </row>
    <row r="54" spans="1:14" s="14" customFormat="1" ht="13.2">
      <c r="A54" s="142"/>
      <c r="B54" s="67" t="str">
        <f>Q_IS!B54</f>
        <v>Homecare</v>
      </c>
      <c r="C54" s="68" t="str">
        <f>Q_IS!C54</f>
        <v>Shurink RX/SKEDERM</v>
      </c>
      <c r="D54" s="87">
        <f t="shared" si="17"/>
        <v>1.068561721110578E-2</v>
      </c>
      <c r="E54" s="88">
        <f t="shared" si="17"/>
        <v>1.9950497827266097E-2</v>
      </c>
      <c r="F54" s="88">
        <f t="shared" si="17"/>
        <v>2.3422542502403474E-2</v>
      </c>
      <c r="G54" s="89">
        <f t="shared" si="17"/>
        <v>2.1682011026562916E-2</v>
      </c>
      <c r="H54" s="1012">
        <f t="shared" si="19"/>
        <v>2.3677055969164768E-2</v>
      </c>
      <c r="I54" s="1013">
        <f t="shared" si="18"/>
        <v>2.0494164171281182E-2</v>
      </c>
      <c r="J54" s="88">
        <f t="shared" si="16"/>
        <v>2.2458810348455635E-2</v>
      </c>
      <c r="K54" s="89">
        <f t="shared" si="16"/>
        <v>2.2458810348455635E-2</v>
      </c>
      <c r="N54" s="990">
        <v>2.4175978635181668E-2</v>
      </c>
    </row>
    <row r="55" spans="1:14" s="91" customFormat="1" ht="16.2" customHeight="1">
      <c r="A55" s="145"/>
      <c r="B55" s="74" t="str">
        <f>Q_IS!B55</f>
        <v>수출</v>
      </c>
      <c r="C55" s="75" t="str">
        <f>Q_IS!C55</f>
        <v>Global</v>
      </c>
      <c r="D55" s="264">
        <f t="shared" si="17"/>
        <v>7.2880059133998169E-3</v>
      </c>
      <c r="E55" s="265">
        <f t="shared" si="17"/>
        <v>6.0537291844610566E-3</v>
      </c>
      <c r="F55" s="265">
        <f t="shared" si="17"/>
        <v>4.470044946959302E-3</v>
      </c>
      <c r="G55" s="266">
        <f t="shared" si="17"/>
        <v>3.4676966834212633E-3</v>
      </c>
      <c r="H55" s="1014">
        <f t="shared" si="19"/>
        <v>1.9960308811214481E-3</v>
      </c>
      <c r="I55" s="1015">
        <f t="shared" si="18"/>
        <v>1.6503277301766056E-3</v>
      </c>
      <c r="J55" s="265">
        <f t="shared" si="16"/>
        <v>1.8085342341881215E-3</v>
      </c>
      <c r="K55" s="266">
        <f t="shared" si="16"/>
        <v>1.8085342341881215E-3</v>
      </c>
      <c r="N55" s="991">
        <v>2.0380912221519428E-3</v>
      </c>
    </row>
    <row r="56" spans="1:14" s="91" customFormat="1" ht="16.2" customHeight="1">
      <c r="A56" s="145"/>
      <c r="B56" s="74" t="str">
        <f>Q_IS!B56</f>
        <v>내수</v>
      </c>
      <c r="C56" s="75" t="str">
        <f>Q_IS!C56</f>
        <v>Korea</v>
      </c>
      <c r="D56" s="264">
        <f t="shared" si="17"/>
        <v>3.3976112977059641E-3</v>
      </c>
      <c r="E56" s="265">
        <f t="shared" si="17"/>
        <v>1.3896768642805042E-2</v>
      </c>
      <c r="F56" s="265">
        <f t="shared" si="17"/>
        <v>1.8952497555444169E-2</v>
      </c>
      <c r="G56" s="266">
        <f t="shared" si="17"/>
        <v>1.8214314343141649E-2</v>
      </c>
      <c r="H56" s="1014">
        <f t="shared" si="19"/>
        <v>2.1681025088043319E-2</v>
      </c>
      <c r="I56" s="1015">
        <f t="shared" si="18"/>
        <v>1.8843836441104579E-2</v>
      </c>
      <c r="J56" s="265">
        <f t="shared" si="16"/>
        <v>2.0650276114267518E-2</v>
      </c>
      <c r="K56" s="266">
        <f t="shared" si="16"/>
        <v>2.0650276114267518E-2</v>
      </c>
      <c r="N56" s="991">
        <v>2.2137887413029723E-2</v>
      </c>
    </row>
    <row r="57" spans="1:14" s="14" customFormat="1" ht="16.2" customHeight="1" thickBot="1">
      <c r="A57" s="142"/>
      <c r="B57" s="67" t="str">
        <f>Q_IS!B57</f>
        <v>임대료</v>
      </c>
      <c r="C57" s="68" t="str">
        <f>Q_IS!C57</f>
        <v>Rentals</v>
      </c>
      <c r="D57" s="87">
        <f t="shared" si="17"/>
        <v>3.06044376434583E-3</v>
      </c>
      <c r="E57" s="88">
        <f t="shared" si="17"/>
        <v>2.780600634675212E-3</v>
      </c>
      <c r="F57" s="88">
        <f t="shared" si="17"/>
        <v>2.8348630637885274E-3</v>
      </c>
      <c r="G57" s="89">
        <f t="shared" si="17"/>
        <v>2.7521873506262933E-3</v>
      </c>
      <c r="H57" s="1012">
        <f t="shared" si="19"/>
        <v>1.7207162768288348E-3</v>
      </c>
      <c r="I57" s="1013">
        <f t="shared" si="18"/>
        <v>1.3908422380104729E-3</v>
      </c>
      <c r="J57" s="88">
        <f t="shared" si="16"/>
        <v>1.5241735055421908E-3</v>
      </c>
      <c r="K57" s="89">
        <f t="shared" si="16"/>
        <v>1.5241735055421908E-3</v>
      </c>
      <c r="N57" s="990">
        <v>2.8697261461334829E-3</v>
      </c>
    </row>
    <row r="58" spans="1:14" s="139" customFormat="1" ht="16.2" customHeight="1" thickBot="1">
      <c r="A58" s="146"/>
      <c r="B58" s="872" t="str">
        <f>Q_IS!B58</f>
        <v>기존 사업 기준</v>
      </c>
      <c r="C58" s="873" t="str">
        <f>Q_IS!C58</f>
        <v>Total</v>
      </c>
      <c r="D58" s="874">
        <f>IFERROR(D38/D$27,"")</f>
        <v>1</v>
      </c>
      <c r="E58" s="875">
        <f t="shared" ref="E58:G58" si="20">IFERROR(E38/E$27,"")</f>
        <v>1</v>
      </c>
      <c r="F58" s="875">
        <f t="shared" si="20"/>
        <v>1</v>
      </c>
      <c r="G58" s="876">
        <f t="shared" si="20"/>
        <v>1</v>
      </c>
      <c r="H58" s="1016">
        <f t="shared" si="19"/>
        <v>0.97935140467805404</v>
      </c>
      <c r="I58" s="1017">
        <f t="shared" si="18"/>
        <v>0.91252225088095329</v>
      </c>
      <c r="J58" s="269">
        <f t="shared" si="16"/>
        <v>1</v>
      </c>
      <c r="K58" s="270">
        <f t="shared" si="16"/>
        <v>1</v>
      </c>
      <c r="N58" s="139">
        <v>0.97935164154449728</v>
      </c>
    </row>
    <row r="59" spans="1:14" s="91" customFormat="1" ht="16.2" customHeight="1">
      <c r="A59" s="145"/>
      <c r="B59" s="74" t="str">
        <f>Q_IS!B59</f>
        <v>수출</v>
      </c>
      <c r="C59" s="75" t="str">
        <f>Q_IS!C59</f>
        <v>Global</v>
      </c>
      <c r="D59" s="264">
        <f t="shared" ref="D59:G60" si="21">IFERROR(D39/D$38,"")</f>
        <v>0.68124700115415038</v>
      </c>
      <c r="E59" s="265">
        <f t="shared" si="21"/>
        <v>0.66041758885764701</v>
      </c>
      <c r="F59" s="265">
        <f t="shared" si="21"/>
        <v>0.65293469954560024</v>
      </c>
      <c r="G59" s="266">
        <f t="shared" si="21"/>
        <v>0.66702986435011857</v>
      </c>
      <c r="H59" s="1014">
        <f t="shared" si="19"/>
        <v>0.70953162102944722</v>
      </c>
      <c r="I59" s="1015">
        <f t="shared" si="18"/>
        <v>0.67464152079257256</v>
      </c>
      <c r="J59" s="265">
        <f t="shared" si="16"/>
        <v>0.73931514562112921</v>
      </c>
      <c r="K59" s="266">
        <f t="shared" si="16"/>
        <v>0.73931514562112921</v>
      </c>
      <c r="N59" s="991">
        <v>0.72338182584861899</v>
      </c>
    </row>
    <row r="60" spans="1:14" s="92" customFormat="1" ht="16.2" customHeight="1" thickBot="1">
      <c r="A60" s="145"/>
      <c r="B60" s="74" t="str">
        <f>Q_IS!B60</f>
        <v>내수</v>
      </c>
      <c r="C60" s="75" t="str">
        <f>Q_IS!C60</f>
        <v>Korea</v>
      </c>
      <c r="D60" s="264">
        <f t="shared" si="21"/>
        <v>0.31875299884584962</v>
      </c>
      <c r="E60" s="265">
        <f t="shared" si="21"/>
        <v>0.3395824111423531</v>
      </c>
      <c r="F60" s="265">
        <f t="shared" si="21"/>
        <v>0.34706530045439976</v>
      </c>
      <c r="G60" s="266">
        <f t="shared" si="21"/>
        <v>0.33297013564988137</v>
      </c>
      <c r="H60" s="1014">
        <f t="shared" si="19"/>
        <v>0.26981978364860681</v>
      </c>
      <c r="I60" s="1015">
        <f t="shared" si="18"/>
        <v>0.23788073008838079</v>
      </c>
      <c r="J60" s="265">
        <f t="shared" si="16"/>
        <v>0.2606848543788709</v>
      </c>
      <c r="K60" s="266">
        <f t="shared" si="16"/>
        <v>0.2606848543788709</v>
      </c>
      <c r="N60" s="992">
        <v>0.27661817415138101</v>
      </c>
    </row>
    <row r="61" spans="1:14" ht="16.2" customHeight="1" thickBot="1">
      <c r="B61" s="896" t="s">
        <v>501</v>
      </c>
      <c r="C61" s="897" t="s">
        <v>498</v>
      </c>
      <c r="D61" s="994">
        <v>0</v>
      </c>
      <c r="E61" s="995">
        <v>0</v>
      </c>
      <c r="F61" s="996">
        <v>0</v>
      </c>
      <c r="G61" s="997">
        <v>0</v>
      </c>
      <c r="H61" s="1016">
        <f t="shared" si="19"/>
        <v>2.0648595321946017E-2</v>
      </c>
      <c r="I61" s="1017">
        <f t="shared" si="18"/>
        <v>8.7477749119046752E-2</v>
      </c>
      <c r="J61" s="768"/>
      <c r="K61" s="259"/>
      <c r="L61" s="442"/>
      <c r="N61" s="993">
        <v>2.0648358455502787E-2</v>
      </c>
    </row>
    <row r="62" spans="1:14" s="131" customFormat="1" ht="16.2" customHeight="1" thickBot="1">
      <c r="A62" s="147"/>
      <c r="B62" s="132" t="str">
        <f>Q_IS!B62</f>
        <v>브라질</v>
      </c>
      <c r="C62" s="133" t="str">
        <f>Q_IS!C62</f>
        <v>Brazil</v>
      </c>
      <c r="D62" s="413">
        <f t="shared" ref="D62" si="22">IFERROR(D42/D$38,"")</f>
        <v>0.15313890005576231</v>
      </c>
      <c r="E62" s="414">
        <f t="shared" ref="E62:F62" si="23">IFERROR(E42/E$38,"")</f>
        <v>0.10197198201961383</v>
      </c>
      <c r="F62" s="414" t="str">
        <f t="shared" si="23"/>
        <v/>
      </c>
      <c r="G62" s="415"/>
      <c r="H62" s="1018" t="str">
        <f t="shared" ref="H62:J62" si="24">IFERROR(H42/H$38,"")</f>
        <v/>
      </c>
      <c r="I62" s="1019" t="str">
        <f t="shared" si="24"/>
        <v/>
      </c>
      <c r="J62" s="414" t="str">
        <f t="shared" si="24"/>
        <v/>
      </c>
      <c r="K62" s="415"/>
      <c r="N62" s="950"/>
    </row>
    <row r="65" spans="2:11" ht="16.2" customHeight="1">
      <c r="B65" s="580" t="s">
        <v>415</v>
      </c>
    </row>
    <row r="66" spans="2:11" ht="16.2" customHeight="1">
      <c r="B66" s="557" t="s">
        <v>403</v>
      </c>
      <c r="C66" s="558" t="s">
        <v>405</v>
      </c>
      <c r="D66" s="576" t="s">
        <v>396</v>
      </c>
      <c r="E66" s="576" t="s">
        <v>397</v>
      </c>
      <c r="F66" s="576" t="s">
        <v>398</v>
      </c>
      <c r="G66" s="576" t="s">
        <v>454</v>
      </c>
      <c r="H66" s="576" t="str">
        <f>+H46</f>
        <v>1Q26</v>
      </c>
      <c r="I66" s="576" t="str">
        <f>+I46</f>
        <v>2Q26 YTD</v>
      </c>
      <c r="J66" s="576" t="str">
        <f>+J46</f>
        <v>3Q26 YTD</v>
      </c>
      <c r="K66" s="576" t="str">
        <f>+K46</f>
        <v>4Q26 YTD</v>
      </c>
    </row>
    <row r="67" spans="2:11" ht="16.2" customHeight="1">
      <c r="B67" s="592" t="s">
        <v>416</v>
      </c>
      <c r="C67" s="593" t="s">
        <v>59</v>
      </c>
      <c r="D67" s="594">
        <f t="shared" ref="D67:F67" si="25">+SUM(D68:D71)</f>
        <v>2136</v>
      </c>
      <c r="E67" s="594">
        <f t="shared" si="25"/>
        <v>3155</v>
      </c>
      <c r="F67" s="594">
        <f t="shared" si="25"/>
        <v>5401</v>
      </c>
      <c r="G67" s="595">
        <f>+SUM(G68:G72)</f>
        <v>10070.360999999999</v>
      </c>
      <c r="H67" s="595">
        <f>+SUM(H68:H72)</f>
        <v>10218.862000000001</v>
      </c>
      <c r="I67" s="594">
        <f t="shared" ref="I67:K67" si="26">+SUM(I68:I72)</f>
        <v>15570.240999999998</v>
      </c>
      <c r="J67" s="594">
        <f t="shared" si="26"/>
        <v>15570.240999999998</v>
      </c>
      <c r="K67" s="594">
        <f t="shared" si="26"/>
        <v>15570.240999999998</v>
      </c>
    </row>
    <row r="68" spans="2:11" ht="16.2" customHeight="1">
      <c r="B68" s="555" t="s">
        <v>360</v>
      </c>
      <c r="C68" s="568" t="s">
        <v>377</v>
      </c>
      <c r="D68" s="521">
        <f>Q_IS!D66</f>
        <v>1327</v>
      </c>
      <c r="E68" s="521">
        <f>D68+Q_IS!E66</f>
        <v>2539</v>
      </c>
      <c r="F68" s="521">
        <f>E68+Q_IS!F66</f>
        <v>3823</v>
      </c>
      <c r="G68" s="512">
        <f>F68+Q_IS!G66</f>
        <v>5362.6669999999995</v>
      </c>
      <c r="H68" s="512">
        <f>Q_IS!H66</f>
        <v>2047.511</v>
      </c>
      <c r="I68" s="521">
        <f>H68+Q_IS!K66</f>
        <v>2574.9789999999998</v>
      </c>
      <c r="J68" s="521">
        <f>I68+Q_IS!N66</f>
        <v>2574.9789999999998</v>
      </c>
      <c r="K68" s="512">
        <f>J68+Q_IS!Q66</f>
        <v>2574.9789999999998</v>
      </c>
    </row>
    <row r="69" spans="2:11" ht="16.2" customHeight="1">
      <c r="B69" s="555" t="s">
        <v>361</v>
      </c>
      <c r="C69" s="568" t="s">
        <v>378</v>
      </c>
      <c r="D69" s="521">
        <f>Q_IS!D67</f>
        <v>0</v>
      </c>
      <c r="E69" s="521">
        <f>D69+Q_IS!E67</f>
        <v>0</v>
      </c>
      <c r="F69" s="521">
        <f>E69+Q_IS!F67</f>
        <v>0</v>
      </c>
      <c r="G69" s="512">
        <f>F69+Q_IS!G67</f>
        <v>2272.5790000000002</v>
      </c>
      <c r="H69" s="512">
        <f>Q_IS!H67</f>
        <v>7.9320000000000004</v>
      </c>
      <c r="I69" s="521">
        <f>H69+Q_IS!K67</f>
        <v>437.41200000000003</v>
      </c>
      <c r="J69" s="521">
        <f>I69+Q_IS!N67</f>
        <v>437.41200000000003</v>
      </c>
      <c r="K69" s="512">
        <f>J69+Q_IS!Q67</f>
        <v>437.41200000000003</v>
      </c>
    </row>
    <row r="70" spans="2:11" ht="16.2" customHeight="1">
      <c r="B70" s="555" t="s">
        <v>362</v>
      </c>
      <c r="C70" s="568" t="s">
        <v>380</v>
      </c>
      <c r="D70" s="521">
        <f>Q_IS!D68</f>
        <v>362</v>
      </c>
      <c r="E70" s="521">
        <f>D70+Q_IS!E68</f>
        <v>517</v>
      </c>
      <c r="F70" s="521">
        <f>E70+Q_IS!F68</f>
        <v>1077</v>
      </c>
      <c r="G70" s="512">
        <f>F70+Q_IS!G68</f>
        <v>2130.8130000000001</v>
      </c>
      <c r="H70" s="512">
        <f>Q_IS!H68</f>
        <v>2355.7739999999999</v>
      </c>
      <c r="I70" s="521">
        <f>H70+Q_IS!K68</f>
        <v>4754.2729999999992</v>
      </c>
      <c r="J70" s="521">
        <f>I70+Q_IS!N68</f>
        <v>4754.2729999999992</v>
      </c>
      <c r="K70" s="512">
        <f>J70+Q_IS!Q68</f>
        <v>4754.2729999999992</v>
      </c>
    </row>
    <row r="71" spans="2:11" ht="16.2" customHeight="1">
      <c r="B71" s="555" t="s">
        <v>363</v>
      </c>
      <c r="C71" s="568" t="s">
        <v>379</v>
      </c>
      <c r="D71" s="606">
        <f>Q_IS!D69</f>
        <v>447</v>
      </c>
      <c r="E71" s="606">
        <f>D71+Q_IS!E69</f>
        <v>99</v>
      </c>
      <c r="F71" s="606">
        <f>E71+Q_IS!F69</f>
        <v>501</v>
      </c>
      <c r="G71" s="607">
        <f>F71+Q_IS!G69</f>
        <v>297.24299999999999</v>
      </c>
      <c r="H71" s="607">
        <f>Q_IS!H69</f>
        <v>5807.6450000000004</v>
      </c>
      <c r="I71" s="606">
        <f>H71+Q_IS!K69</f>
        <v>7803.5770000000002</v>
      </c>
      <c r="J71" s="606">
        <f>I71+Q_IS!N69</f>
        <v>7803.5770000000002</v>
      </c>
      <c r="K71" s="607">
        <f>J71+Q_IS!Q69</f>
        <v>7803.5770000000002</v>
      </c>
    </row>
    <row r="72" spans="2:11" ht="16.2" customHeight="1">
      <c r="B72" s="556" t="s">
        <v>460</v>
      </c>
      <c r="C72" s="575" t="s">
        <v>459</v>
      </c>
      <c r="D72" s="588">
        <f>Q_IS!D70</f>
        <v>0</v>
      </c>
      <c r="E72" s="588">
        <f>D72+Q_IS!E70</f>
        <v>0</v>
      </c>
      <c r="F72" s="588">
        <f>E72+Q_IS!F70</f>
        <v>0</v>
      </c>
      <c r="G72" s="589">
        <f>F72+Q_IS!G70</f>
        <v>7.0590000000000002</v>
      </c>
      <c r="H72" s="589">
        <f>Q_IS!H70</f>
        <v>0</v>
      </c>
      <c r="I72" s="588">
        <f>H72+Q_IS!K70</f>
        <v>0</v>
      </c>
      <c r="J72" s="588">
        <f>I72+Q_IS!N70</f>
        <v>0</v>
      </c>
      <c r="K72" s="589">
        <f>J72+Q_IS!Q70</f>
        <v>0</v>
      </c>
    </row>
    <row r="73" spans="2:11" ht="16.2" customHeight="1">
      <c r="B73" s="592" t="s">
        <v>417</v>
      </c>
      <c r="C73" s="593" t="s">
        <v>60</v>
      </c>
      <c r="D73" s="594">
        <f t="shared" ref="D73:E73" si="27">+SUM(D74:D79)</f>
        <v>-1410</v>
      </c>
      <c r="E73" s="594">
        <f t="shared" si="27"/>
        <v>-12915</v>
      </c>
      <c r="F73" s="594">
        <f>+SUM(F74:F79)</f>
        <v>-9940.9939999999988</v>
      </c>
      <c r="G73" s="594">
        <f>+SUM(G74:G80)</f>
        <v>-10869.599849</v>
      </c>
      <c r="H73" s="595">
        <f>+SUM(H74:H80)</f>
        <v>-2423.6909999999998</v>
      </c>
      <c r="I73" s="594">
        <f t="shared" ref="I73:K73" si="28">+SUM(I74:I80)</f>
        <v>9581.348</v>
      </c>
      <c r="J73" s="594">
        <f t="shared" si="28"/>
        <v>9581.348</v>
      </c>
      <c r="K73" s="594">
        <f t="shared" si="28"/>
        <v>9581.348</v>
      </c>
    </row>
    <row r="74" spans="2:11" ht="16.2" customHeight="1">
      <c r="B74" s="555" t="s">
        <v>364</v>
      </c>
      <c r="C74" s="568" t="s">
        <v>381</v>
      </c>
      <c r="D74" s="521">
        <f>Q_IS!D72</f>
        <v>-683</v>
      </c>
      <c r="E74" s="521">
        <f>D74+Q_IS!E72</f>
        <v>-1258</v>
      </c>
      <c r="F74" s="521">
        <f>E74+Q_IS!F72</f>
        <v>-1811.6289999999999</v>
      </c>
      <c r="G74" s="512">
        <f>F74+Q_IS!G72</f>
        <v>-2420.6579999999999</v>
      </c>
      <c r="H74" s="512">
        <f>Q_IS!H72</f>
        <v>-1552.797</v>
      </c>
      <c r="I74" s="521">
        <f>H74+Q_IS!K72</f>
        <v>1446.38</v>
      </c>
      <c r="J74" s="521">
        <f>I74+Q_IS!N72</f>
        <v>1446.38</v>
      </c>
      <c r="K74" s="512">
        <f>J74+Q_IS!Q72</f>
        <v>1446.38</v>
      </c>
    </row>
    <row r="75" spans="2:11" ht="16.2" customHeight="1">
      <c r="B75" s="555" t="s">
        <v>365</v>
      </c>
      <c r="C75" s="568" t="s">
        <v>382</v>
      </c>
      <c r="D75" s="521">
        <f>Q_IS!D73</f>
        <v>-102</v>
      </c>
      <c r="E75" s="521">
        <f>D75+Q_IS!E73</f>
        <v>-209</v>
      </c>
      <c r="F75" s="521">
        <f>E75+Q_IS!F73</f>
        <v>-274.642</v>
      </c>
      <c r="G75" s="512">
        <f>F75+Q_IS!G73</f>
        <v>-306.8931</v>
      </c>
      <c r="H75" s="512">
        <f>Q_IS!H73</f>
        <v>-20.253</v>
      </c>
      <c r="I75" s="521">
        <f>H75+Q_IS!K73</f>
        <v>25.906999999999996</v>
      </c>
      <c r="J75" s="521">
        <f>I75+Q_IS!N73</f>
        <v>25.906999999999996</v>
      </c>
      <c r="K75" s="512">
        <f>J75+Q_IS!Q73</f>
        <v>25.906999999999996</v>
      </c>
    </row>
    <row r="76" spans="2:11" ht="16.2" customHeight="1">
      <c r="B76" s="555" t="s">
        <v>366</v>
      </c>
      <c r="C76" s="568" t="s">
        <v>383</v>
      </c>
      <c r="D76" s="521">
        <f>Q_IS!D74</f>
        <v>-248</v>
      </c>
      <c r="E76" s="521">
        <f>D76+Q_IS!E74</f>
        <v>-1868</v>
      </c>
      <c r="F76" s="521">
        <f>E76+Q_IS!F74</f>
        <v>-2601.7690000000002</v>
      </c>
      <c r="G76" s="512">
        <f>F76+Q_IS!G74</f>
        <v>-3160.42326</v>
      </c>
      <c r="H76" s="512">
        <f>Q_IS!H74</f>
        <v>-457.35899999999998</v>
      </c>
      <c r="I76" s="521">
        <f>H76+Q_IS!K74</f>
        <v>8321.33</v>
      </c>
      <c r="J76" s="521">
        <f>I76+Q_IS!N74</f>
        <v>8321.33</v>
      </c>
      <c r="K76" s="512">
        <f>J76+Q_IS!Q74</f>
        <v>8321.33</v>
      </c>
    </row>
    <row r="77" spans="2:11" ht="16.2" customHeight="1">
      <c r="B77" s="555" t="s">
        <v>367</v>
      </c>
      <c r="C77" s="568" t="s">
        <v>384</v>
      </c>
      <c r="D77" s="606">
        <f>Q_IS!D75</f>
        <v>0</v>
      </c>
      <c r="E77" s="606">
        <f>D77+Q_IS!E75</f>
        <v>-362</v>
      </c>
      <c r="F77" s="606">
        <f>E77+Q_IS!F75</f>
        <v>-362</v>
      </c>
      <c r="G77" s="607">
        <f>F77+Q_IS!G75</f>
        <v>-2330.9010819999999</v>
      </c>
      <c r="H77" s="607">
        <f>Q_IS!H75</f>
        <v>0</v>
      </c>
      <c r="I77" s="606">
        <f>H77+Q_IS!K75</f>
        <v>0</v>
      </c>
      <c r="J77" s="606">
        <f>I77+Q_IS!N75</f>
        <v>0</v>
      </c>
      <c r="K77" s="607">
        <f>J77+Q_IS!Q75</f>
        <v>0</v>
      </c>
    </row>
    <row r="78" spans="2:11" ht="16.2" customHeight="1">
      <c r="B78" s="555" t="s">
        <v>368</v>
      </c>
      <c r="C78" s="568" t="s">
        <v>385</v>
      </c>
      <c r="D78" s="606">
        <f>Q_IS!D76</f>
        <v>0</v>
      </c>
      <c r="E78" s="606">
        <f>D78+Q_IS!E76</f>
        <v>-2</v>
      </c>
      <c r="F78" s="606">
        <f>E78+Q_IS!F76</f>
        <v>-2</v>
      </c>
      <c r="G78" s="607">
        <f>F78+Q_IS!G76</f>
        <v>-2.125721</v>
      </c>
      <c r="H78" s="607">
        <f>Q_IS!H76</f>
        <v>0</v>
      </c>
      <c r="I78" s="606">
        <f>H78+Q_IS!K76</f>
        <v>10.955</v>
      </c>
      <c r="J78" s="606">
        <f>I78+Q_IS!N76</f>
        <v>10.955</v>
      </c>
      <c r="K78" s="607">
        <f>J78+Q_IS!Q76</f>
        <v>10.955</v>
      </c>
    </row>
    <row r="79" spans="2:11" ht="16.2" customHeight="1">
      <c r="B79" s="555" t="s">
        <v>369</v>
      </c>
      <c r="C79" s="568" t="s">
        <v>386</v>
      </c>
      <c r="D79" s="521">
        <f>Q_IS!D77</f>
        <v>-377</v>
      </c>
      <c r="E79" s="521">
        <f>D79+Q_IS!E77</f>
        <v>-9216</v>
      </c>
      <c r="F79" s="521">
        <f>E79+Q_IS!F77</f>
        <v>-4888.9539999999997</v>
      </c>
      <c r="G79" s="512">
        <f>F79+Q_IS!G77</f>
        <v>-2648.5169859999996</v>
      </c>
      <c r="H79" s="512">
        <f>Q_IS!H77</f>
        <v>-374.976</v>
      </c>
      <c r="I79" s="521">
        <f>H79+Q_IS!K77</f>
        <v>-329.096</v>
      </c>
      <c r="J79" s="521">
        <f>I79+Q_IS!N77</f>
        <v>-329.096</v>
      </c>
      <c r="K79" s="512">
        <f>J79+Q_IS!Q77</f>
        <v>-329.096</v>
      </c>
    </row>
    <row r="80" spans="2:11" ht="16.2" customHeight="1">
      <c r="B80" s="556" t="s">
        <v>172</v>
      </c>
      <c r="C80" s="575" t="s">
        <v>69</v>
      </c>
      <c r="D80" s="573">
        <f>Q_IS!D78</f>
        <v>0.11899999999999999</v>
      </c>
      <c r="E80" s="573">
        <f>D80+Q_IS!E78</f>
        <v>-8.1699999999999995E-2</v>
      </c>
      <c r="F80" s="573">
        <f>E80+Q_IS!F78</f>
        <v>-8.1699999999999995E-2</v>
      </c>
      <c r="G80" s="574">
        <f>F80+Q_IS!G78</f>
        <v>-8.1699999999999995E-2</v>
      </c>
      <c r="H80" s="574">
        <f>Q_IS!H78</f>
        <v>-18.306000000000001</v>
      </c>
      <c r="I80" s="573">
        <f>H80+Q_IS!K78</f>
        <v>105.872</v>
      </c>
      <c r="J80" s="573">
        <f>I80+Q_IS!N78</f>
        <v>105.872</v>
      </c>
      <c r="K80" s="574">
        <f>J80+Q_IS!Q78</f>
        <v>105.872</v>
      </c>
    </row>
    <row r="81" spans="1:14" ht="16.2" customHeight="1">
      <c r="B81" s="592" t="s">
        <v>418</v>
      </c>
      <c r="C81" s="593" t="s">
        <v>61</v>
      </c>
      <c r="D81" s="594">
        <f>+SUM(D82:D86)</f>
        <v>45.276999999999994</v>
      </c>
      <c r="E81" s="594">
        <f>+SUM(E82:E86)</f>
        <v>81.277000000000001</v>
      </c>
      <c r="F81" s="594">
        <f>+SUM(F82:F86)</f>
        <v>135.363</v>
      </c>
      <c r="G81" s="594">
        <f>+SUM(G82:G86)</f>
        <v>389.363</v>
      </c>
      <c r="H81" s="595">
        <f t="shared" ref="H81:K81" si="29">+SUM(H82:H86)</f>
        <v>513.50700000000006</v>
      </c>
      <c r="I81" s="594">
        <f t="shared" si="29"/>
        <v>330.49599999999998</v>
      </c>
      <c r="J81" s="594">
        <f t="shared" si="29"/>
        <v>330.49599999999998</v>
      </c>
      <c r="K81" s="594">
        <f t="shared" si="29"/>
        <v>2028.165</v>
      </c>
    </row>
    <row r="82" spans="1:14" ht="16.2" customHeight="1">
      <c r="B82" s="555" t="s">
        <v>407</v>
      </c>
      <c r="C82" s="568" t="s">
        <v>411</v>
      </c>
      <c r="D82" s="521">
        <f>Q_IS!D80</f>
        <v>3.181</v>
      </c>
      <c r="E82" s="521">
        <f>D82+Q_IS!E80</f>
        <v>15.181000000000001</v>
      </c>
      <c r="F82" s="521">
        <f>E82+Q_IS!F80</f>
        <v>25.146999999999998</v>
      </c>
      <c r="G82" s="512">
        <f>F82+Q_IS!G80</f>
        <v>114.547</v>
      </c>
      <c r="H82" s="512">
        <f>Q_IS!H80</f>
        <v>33.777000000000001</v>
      </c>
      <c r="I82" s="521">
        <f>H82+Q_IS!K80</f>
        <v>39.457000000000001</v>
      </c>
      <c r="J82" s="521">
        <f>I82+Q_IS!N80</f>
        <v>39.457000000000001</v>
      </c>
      <c r="K82" s="512">
        <f>J82+Q_IS!Q80</f>
        <v>39.457000000000001</v>
      </c>
    </row>
    <row r="83" spans="1:14" ht="16.2" customHeight="1">
      <c r="B83" s="555" t="s">
        <v>408</v>
      </c>
      <c r="C83" s="568" t="s">
        <v>412</v>
      </c>
      <c r="D83" s="521">
        <f>Q_IS!D81</f>
        <v>0.5</v>
      </c>
      <c r="E83" s="521">
        <f>D83+Q_IS!E81</f>
        <v>0.5</v>
      </c>
      <c r="F83" s="521">
        <f>E83+Q_IS!F81</f>
        <v>0.5</v>
      </c>
      <c r="G83" s="512">
        <f>F83+Q_IS!G81</f>
        <v>0.8</v>
      </c>
      <c r="H83" s="512">
        <f>Q_IS!H81</f>
        <v>0.68899999999999995</v>
      </c>
      <c r="I83" s="521">
        <f>H83+Q_IS!K81</f>
        <v>0.69099999999999995</v>
      </c>
      <c r="J83" s="521">
        <f>I83+Q_IS!N81</f>
        <v>0.69099999999999995</v>
      </c>
      <c r="K83" s="512">
        <f>J83+Q_IS!Q81</f>
        <v>0.69099999999999995</v>
      </c>
    </row>
    <row r="84" spans="1:14" ht="16.2" customHeight="1">
      <c r="B84" s="555" t="s">
        <v>481</v>
      </c>
      <c r="C84" s="568" t="s">
        <v>482</v>
      </c>
      <c r="D84" s="521">
        <f>Q_IS!D82</f>
        <v>0</v>
      </c>
      <c r="E84" s="521">
        <f>D84+Q_IS!E82</f>
        <v>0</v>
      </c>
      <c r="F84" s="521">
        <f>E84+Q_IS!F82</f>
        <v>0</v>
      </c>
      <c r="G84" s="512">
        <f>F84+Q_IS!G82</f>
        <v>0</v>
      </c>
      <c r="H84" s="512">
        <f>Q_IS!H82</f>
        <v>452.44400000000002</v>
      </c>
      <c r="I84" s="521">
        <f>H84+Q_IS!K82</f>
        <v>237.28700000000001</v>
      </c>
      <c r="J84" s="521">
        <f>I84+Q_IS!N82</f>
        <v>237.28700000000001</v>
      </c>
      <c r="K84" s="512">
        <f>J84+Q_IS!Q82</f>
        <v>237.28700000000001</v>
      </c>
    </row>
    <row r="85" spans="1:14" s="3" customFormat="1" ht="16.2" customHeight="1">
      <c r="A85" s="141"/>
      <c r="B85" s="555" t="s">
        <v>521</v>
      </c>
      <c r="C85" s="568" t="s">
        <v>522</v>
      </c>
      <c r="D85" s="521">
        <f>Q_IS!D83</f>
        <v>0</v>
      </c>
      <c r="E85" s="521">
        <f>D85+Q_IS!E83</f>
        <v>0</v>
      </c>
      <c r="F85" s="521">
        <f>E85+Q_IS!F83</f>
        <v>0</v>
      </c>
      <c r="G85" s="512">
        <f>F85+Q_IS!G83</f>
        <v>0</v>
      </c>
      <c r="H85" s="512">
        <f>Q_IS!H83</f>
        <v>0</v>
      </c>
      <c r="I85" s="521">
        <f>H85+Q_IS!K83</f>
        <v>0</v>
      </c>
      <c r="J85" s="605">
        <f t="shared" ref="J85" si="30">IFERROR((H85/D85-1),0)</f>
        <v>0</v>
      </c>
      <c r="K85" s="521">
        <v>1697.6690000000001</v>
      </c>
      <c r="L85" s="604">
        <f t="shared" ref="L85" si="31">IFERROR((K85-H85)/H85,)</f>
        <v>0</v>
      </c>
      <c r="N85" s="944"/>
    </row>
    <row r="86" spans="1:14" ht="16.2" customHeight="1">
      <c r="B86" s="555" t="s">
        <v>409</v>
      </c>
      <c r="C86" s="568" t="s">
        <v>61</v>
      </c>
      <c r="D86" s="521">
        <f>Q_IS!D84</f>
        <v>41.595999999999997</v>
      </c>
      <c r="E86" s="521">
        <f>D86+Q_IS!E84</f>
        <v>65.596000000000004</v>
      </c>
      <c r="F86" s="521">
        <f>E86+Q_IS!F84</f>
        <v>109.71600000000001</v>
      </c>
      <c r="G86" s="512">
        <f>F86+Q_IS!G84</f>
        <v>274.01600000000002</v>
      </c>
      <c r="H86" s="512">
        <f>Q_IS!H84</f>
        <v>26.597000000000001</v>
      </c>
      <c r="I86" s="521">
        <f>H86+Q_IS!K84</f>
        <v>53.061</v>
      </c>
      <c r="J86" s="521">
        <f>I86+Q_IS!N84</f>
        <v>53.061</v>
      </c>
      <c r="K86" s="512">
        <f>J86+Q_IS!Q84</f>
        <v>53.061</v>
      </c>
    </row>
    <row r="87" spans="1:14" ht="16.2" customHeight="1">
      <c r="B87" s="592" t="s">
        <v>419</v>
      </c>
      <c r="C87" s="593" t="s">
        <v>62</v>
      </c>
      <c r="D87" s="594">
        <f t="shared" ref="D87:K87" si="32">+SUM(D88:D91)</f>
        <v>-2</v>
      </c>
      <c r="E87" s="594">
        <f t="shared" si="32"/>
        <v>-652</v>
      </c>
      <c r="F87" s="594">
        <f t="shared" si="32"/>
        <v>-701.85</v>
      </c>
      <c r="G87" s="594">
        <f t="shared" si="32"/>
        <v>-1557.8630000000001</v>
      </c>
      <c r="H87" s="595">
        <f t="shared" si="32"/>
        <v>-661.14300000000003</v>
      </c>
      <c r="I87" s="594">
        <f t="shared" si="32"/>
        <v>-201.19900000000004</v>
      </c>
      <c r="J87" s="594">
        <f t="shared" si="32"/>
        <v>-201.19900000000004</v>
      </c>
      <c r="K87" s="594">
        <f t="shared" si="32"/>
        <v>-201.19900000000004</v>
      </c>
    </row>
    <row r="88" spans="1:14" ht="16.2" customHeight="1">
      <c r="B88" s="555" t="s">
        <v>443</v>
      </c>
      <c r="C88" s="568" t="s">
        <v>413</v>
      </c>
      <c r="D88" s="521">
        <f>Q_IS!D86</f>
        <v>-1.962</v>
      </c>
      <c r="E88" s="521">
        <f>D88+Q_IS!E86</f>
        <v>-271.96199999999999</v>
      </c>
      <c r="F88" s="521">
        <f>E88+Q_IS!F86</f>
        <v>-280.93799999999999</v>
      </c>
      <c r="G88" s="512">
        <f>F88+Q_IS!G86</f>
        <v>-890.33799999999997</v>
      </c>
      <c r="H88" s="512">
        <f>Q_IS!H86</f>
        <v>-21.039000000000001</v>
      </c>
      <c r="I88" s="521">
        <f>H88+Q_IS!K86</f>
        <v>-21.023000000000003</v>
      </c>
      <c r="J88" s="521">
        <f>I88+Q_IS!N86</f>
        <v>-21.023000000000003</v>
      </c>
      <c r="K88" s="512">
        <f>J88+Q_IS!Q86</f>
        <v>-21.023000000000003</v>
      </c>
    </row>
    <row r="89" spans="1:14" ht="16.2" customHeight="1">
      <c r="B89" s="555" t="s">
        <v>444</v>
      </c>
      <c r="C89" s="568" t="s">
        <v>414</v>
      </c>
      <c r="D89" s="521">
        <f>Q_IS!D87</f>
        <v>0</v>
      </c>
      <c r="E89" s="521">
        <f>D89+Q_IS!E87</f>
        <v>-4</v>
      </c>
      <c r="F89" s="521">
        <f>E89+Q_IS!F87</f>
        <v>-4</v>
      </c>
      <c r="G89" s="512">
        <f>F89+Q_IS!G87</f>
        <v>-4</v>
      </c>
      <c r="H89" s="512">
        <f>Q_IS!H87</f>
        <v>0</v>
      </c>
      <c r="I89" s="521">
        <f>H89+Q_IS!K87</f>
        <v>0</v>
      </c>
      <c r="J89" s="521">
        <f>I89+Q_IS!N87</f>
        <v>0</v>
      </c>
      <c r="K89" s="512">
        <f>J89+Q_IS!Q87</f>
        <v>0</v>
      </c>
    </row>
    <row r="90" spans="1:14" ht="16.2" customHeight="1">
      <c r="B90" s="555" t="s">
        <v>442</v>
      </c>
      <c r="C90" s="568" t="s">
        <v>62</v>
      </c>
      <c r="D90" s="521">
        <f>Q_IS!D88</f>
        <v>-0.28799999999999998</v>
      </c>
      <c r="E90" s="521">
        <f>D90+Q_IS!E88</f>
        <v>-376.28800000000001</v>
      </c>
      <c r="F90" s="521">
        <f>E90+Q_IS!F88</f>
        <v>-417.16300000000001</v>
      </c>
      <c r="G90" s="512">
        <f>F90+Q_IS!G88</f>
        <v>-436.66300000000001</v>
      </c>
      <c r="H90" s="512">
        <f>Q_IS!H88</f>
        <v>-640.10400000000004</v>
      </c>
      <c r="I90" s="521">
        <f>H90+Q_IS!K88</f>
        <v>-180.67600000000004</v>
      </c>
      <c r="J90" s="521">
        <f>I90+Q_IS!N88</f>
        <v>-180.67600000000004</v>
      </c>
      <c r="K90" s="512">
        <f>J90+Q_IS!Q88</f>
        <v>-180.67600000000004</v>
      </c>
    </row>
    <row r="91" spans="1:14" ht="16.2" customHeight="1">
      <c r="B91" s="556" t="s">
        <v>432</v>
      </c>
      <c r="C91" s="575" t="s">
        <v>69</v>
      </c>
      <c r="D91" s="573">
        <f>Q_IS!D89</f>
        <v>0.25</v>
      </c>
      <c r="E91" s="573">
        <f>D91+Q_IS!E89</f>
        <v>0.25</v>
      </c>
      <c r="F91" s="573">
        <f>E91+Q_IS!F89</f>
        <v>0.25099999999999767</v>
      </c>
      <c r="G91" s="574">
        <f>F91+Q_IS!G89</f>
        <v>-226.86199999999999</v>
      </c>
      <c r="H91" s="574">
        <f>Q_IS!H89</f>
        <v>0</v>
      </c>
      <c r="I91" s="573">
        <f>H91+Q_IS!K89</f>
        <v>0.5</v>
      </c>
      <c r="J91" s="573">
        <f>I91+Q_IS!N89</f>
        <v>0.5</v>
      </c>
      <c r="K91" s="574">
        <f>J91+Q_IS!Q89</f>
        <v>0.5</v>
      </c>
    </row>
    <row r="93" spans="1:14" ht="16.2" customHeight="1">
      <c r="B93" s="93" t="s">
        <v>519</v>
      </c>
    </row>
    <row r="94" spans="1:14" ht="16.2" customHeight="1">
      <c r="B94" s="557" t="s">
        <v>403</v>
      </c>
      <c r="C94" s="558" t="s">
        <v>405</v>
      </c>
      <c r="D94" s="576" t="s">
        <v>396</v>
      </c>
      <c r="E94" s="576" t="s">
        <v>397</v>
      </c>
      <c r="F94" s="576" t="s">
        <v>398</v>
      </c>
      <c r="G94" s="576" t="s">
        <v>454</v>
      </c>
      <c r="H94" s="576" t="str">
        <f t="shared" ref="H94:K94" si="33">+H66</f>
        <v>1Q26</v>
      </c>
      <c r="I94" s="576" t="str">
        <f t="shared" si="33"/>
        <v>2Q26 YTD</v>
      </c>
      <c r="J94" s="576" t="str">
        <f t="shared" si="33"/>
        <v>3Q26 YTD</v>
      </c>
      <c r="K94" s="576" t="str">
        <f t="shared" si="33"/>
        <v>4Q26 YTD</v>
      </c>
    </row>
    <row r="95" spans="1:14" ht="16.2" customHeight="1">
      <c r="B95" s="601" t="s">
        <v>520</v>
      </c>
      <c r="C95" s="593"/>
      <c r="D95" s="932"/>
      <c r="E95" s="1032"/>
      <c r="F95" s="1032"/>
      <c r="G95" s="1032"/>
      <c r="H95" s="1032"/>
      <c r="I95" s="931"/>
    </row>
    <row r="96" spans="1:14" ht="16.2" customHeight="1">
      <c r="B96" s="582" t="s">
        <v>425</v>
      </c>
      <c r="C96" s="583" t="s">
        <v>212</v>
      </c>
      <c r="D96" s="1033">
        <f>+Q_IS!D94</f>
        <v>77113.297000000006</v>
      </c>
      <c r="E96" s="1034">
        <f>+D96+Q_IS!E94</f>
        <v>160397.103</v>
      </c>
      <c r="F96" s="1034">
        <f>+E96+Q_IS!F94</f>
        <v>243394.39500000002</v>
      </c>
      <c r="G96" s="1034">
        <f>+F96+Q_IS!G94</f>
        <v>336819.63799999998</v>
      </c>
      <c r="H96" s="1034">
        <f>+Q_IS!H94</f>
        <v>87175.298999999999</v>
      </c>
      <c r="I96" s="933">
        <f>+H96+Q_IS!K94</f>
        <v>192690.617</v>
      </c>
    </row>
    <row r="97" spans="2:9" ht="16.2" customHeight="1">
      <c r="B97" s="582" t="s">
        <v>176</v>
      </c>
      <c r="C97" s="583" t="s">
        <v>524</v>
      </c>
      <c r="D97" s="1033">
        <f>+Q_IS!D95</f>
        <v>61327.678</v>
      </c>
      <c r="E97" s="1034">
        <f>+D97+Q_IS!E95</f>
        <v>125345.432</v>
      </c>
      <c r="F97" s="1034">
        <f>+E97+Q_IS!F95</f>
        <v>189069.595</v>
      </c>
      <c r="G97" s="1034">
        <f>+F97+Q_IS!G95</f>
        <v>261091.85700000002</v>
      </c>
      <c r="H97" s="1034">
        <f>+Q_IS!H95</f>
        <v>65048.677000000003</v>
      </c>
      <c r="I97" s="933">
        <f>+H97+Q_IS!K95</f>
        <v>141566.196</v>
      </c>
    </row>
    <row r="98" spans="2:9" ht="16.2" customHeight="1">
      <c r="B98" s="582" t="s">
        <v>178</v>
      </c>
      <c r="C98" s="583" t="s">
        <v>525</v>
      </c>
      <c r="D98" s="1033">
        <f>+Q_IS!D96</f>
        <v>38781.932000000001</v>
      </c>
      <c r="E98" s="1034">
        <f>+D98+Q_IS!E96</f>
        <v>81792.581999999995</v>
      </c>
      <c r="F98" s="1034">
        <f>+E98+Q_IS!F96</f>
        <v>119410.723</v>
      </c>
      <c r="G98" s="1034">
        <f>+F98+Q_IS!G96</f>
        <v>170600.87400000001</v>
      </c>
      <c r="H98" s="1034">
        <f>+Q_IS!H96</f>
        <v>37199.495000000003</v>
      </c>
      <c r="I98" s="933">
        <f>+H98+Q_IS!K96</f>
        <v>81140.181000000011</v>
      </c>
    </row>
    <row r="99" spans="2:9" ht="16.2" customHeight="1">
      <c r="B99" s="582" t="s">
        <v>426</v>
      </c>
      <c r="C99" s="583" t="s">
        <v>429</v>
      </c>
      <c r="D99" s="1033">
        <f>+Q_IS!D97</f>
        <v>29723.793000000001</v>
      </c>
      <c r="E99" s="1034">
        <f>+D99+Q_IS!E97</f>
        <v>56196.540999999997</v>
      </c>
      <c r="F99" s="1034">
        <f>+E99+Q_IS!F97</f>
        <v>89305.19</v>
      </c>
      <c r="G99" s="1034">
        <f>+F99+Q_IS!G97</f>
        <v>131970.25</v>
      </c>
      <c r="H99" s="1034">
        <f>+Q_IS!H97</f>
        <v>33156.118999999999</v>
      </c>
      <c r="I99" s="933">
        <f>+H99+Q_IS!K97</f>
        <v>58677.243999999999</v>
      </c>
    </row>
    <row r="100" spans="2:9" ht="16.2" customHeight="1">
      <c r="B100" s="601" t="s">
        <v>518</v>
      </c>
      <c r="C100" s="593"/>
      <c r="D100" s="1035"/>
      <c r="E100" s="1036"/>
      <c r="F100" s="1036"/>
      <c r="G100" s="1036"/>
      <c r="H100" s="1036"/>
      <c r="I100" s="934"/>
    </row>
    <row r="101" spans="2:9" ht="16.2" customHeight="1">
      <c r="B101" s="582" t="s">
        <v>425</v>
      </c>
      <c r="C101" s="583" t="s">
        <v>212</v>
      </c>
      <c r="D101" s="1033">
        <f>+Q_IS!D99</f>
        <v>77107.199999999997</v>
      </c>
      <c r="E101" s="1034">
        <f>+D101+Q_IS!E99</f>
        <v>160365.10399999999</v>
      </c>
      <c r="F101" s="1034">
        <f>+E101+Q_IS!F99</f>
        <v>243366.38699999999</v>
      </c>
      <c r="G101" s="1034">
        <f>+F101+Q_IS!G99</f>
        <v>336505.01699999999</v>
      </c>
      <c r="H101" s="1034">
        <f>+Q_IS!H99</f>
        <v>85245.328999999998</v>
      </c>
      <c r="I101" s="933">
        <f>+H101+Q_IS!K99</f>
        <v>175642.09299999999</v>
      </c>
    </row>
    <row r="102" spans="2:9" ht="16.2" customHeight="1">
      <c r="B102" s="582" t="s">
        <v>176</v>
      </c>
      <c r="C102" s="583" t="s">
        <v>524</v>
      </c>
      <c r="D102" s="1033">
        <f>+Q_IS!D100</f>
        <v>61136.707999999999</v>
      </c>
      <c r="E102" s="1034">
        <f>+D102+Q_IS!E100</f>
        <v>124868.56899999999</v>
      </c>
      <c r="F102" s="1034">
        <f>+E102+Q_IS!F100</f>
        <v>188066.86900000001</v>
      </c>
      <c r="G102" s="1034">
        <f>+F102+Q_IS!G100</f>
        <v>259238.25900000002</v>
      </c>
      <c r="H102" s="1034">
        <f>+Q_IS!H100</f>
        <v>65567.167000000001</v>
      </c>
      <c r="I102" s="933">
        <f>+H102+Q_IS!K100</f>
        <v>135051.579</v>
      </c>
    </row>
    <row r="103" spans="2:9" ht="16.2" customHeight="1">
      <c r="B103" s="582" t="s">
        <v>178</v>
      </c>
      <c r="C103" s="583" t="s">
        <v>525</v>
      </c>
      <c r="D103" s="1033">
        <f>+Q_IS!D101</f>
        <v>39085.122000000003</v>
      </c>
      <c r="E103" s="1034">
        <f>+D103+Q_IS!E101</f>
        <v>82152.394</v>
      </c>
      <c r="F103" s="1034">
        <f>+E103+Q_IS!F101</f>
        <v>120134.23999999999</v>
      </c>
      <c r="G103" s="1034">
        <f>+F103+Q_IS!G101</f>
        <v>171421.86</v>
      </c>
      <c r="H103" s="1034">
        <f>+Q_IS!H101</f>
        <v>40690.633000000002</v>
      </c>
      <c r="I103" s="933">
        <f>+H103+Q_IS!K101</f>
        <v>86611.18</v>
      </c>
    </row>
    <row r="104" spans="2:9" ht="16.2" customHeight="1">
      <c r="B104" s="582" t="s">
        <v>426</v>
      </c>
      <c r="C104" s="583" t="s">
        <v>429</v>
      </c>
      <c r="D104" s="1033">
        <f>+Q_IS!D102</f>
        <v>30109.705999999998</v>
      </c>
      <c r="E104" s="1034">
        <f>+D104+Q_IS!E102</f>
        <v>56741.705000000002</v>
      </c>
      <c r="F104" s="1034">
        <f>+E104+Q_IS!F102</f>
        <v>90256.434000000008</v>
      </c>
      <c r="G104" s="1034">
        <f>+F104+Q_IS!G102</f>
        <v>133074.636</v>
      </c>
      <c r="H104" s="1034">
        <f>+Q_IS!H102</f>
        <v>38303.803</v>
      </c>
      <c r="I104" s="933">
        <f>+H104+Q_IS!K102</f>
        <v>77078.66</v>
      </c>
    </row>
    <row r="105" spans="2:9" ht="16.2" customHeight="1">
      <c r="B105" s="601" t="s">
        <v>499</v>
      </c>
      <c r="C105" s="593"/>
      <c r="D105" s="1035"/>
      <c r="E105" s="1036"/>
      <c r="F105" s="1036"/>
      <c r="G105" s="1036"/>
      <c r="H105" s="1036"/>
      <c r="I105" s="934"/>
    </row>
    <row r="106" spans="2:9" ht="16.2" customHeight="1">
      <c r="B106" s="582" t="s">
        <v>425</v>
      </c>
      <c r="C106" s="583" t="s">
        <v>212</v>
      </c>
      <c r="D106" s="1037">
        <f>+Q_IS!D104</f>
        <v>0</v>
      </c>
      <c r="E106" s="1038">
        <f>+D106+Q_IS!E104</f>
        <v>0</v>
      </c>
      <c r="F106" s="1038">
        <f>+E106+Q_IS!F104</f>
        <v>0</v>
      </c>
      <c r="G106" s="1038">
        <f>+F106+Q_IS!G104</f>
        <v>0</v>
      </c>
      <c r="H106" s="1038">
        <v>2.5000000000000001E-2</v>
      </c>
      <c r="I106" s="933">
        <f>+H106+Q_IS!K104</f>
        <v>1.0719999999999998</v>
      </c>
    </row>
    <row r="107" spans="2:9" ht="16.2" customHeight="1">
      <c r="B107" s="582" t="s">
        <v>426</v>
      </c>
      <c r="C107" s="583" t="s">
        <v>429</v>
      </c>
      <c r="D107" s="1037">
        <f>+Q_IS!D105</f>
        <v>0</v>
      </c>
      <c r="E107" s="1038">
        <f>+D107+Q_IS!E105</f>
        <v>0</v>
      </c>
      <c r="F107" s="1038">
        <f>+E107+Q_IS!F105</f>
        <v>0</v>
      </c>
      <c r="G107" s="1038">
        <f>+F107+Q_IS!G105</f>
        <v>0</v>
      </c>
      <c r="H107" s="1034">
        <f>+Q_IS!H105</f>
        <v>-6.0620000000000003</v>
      </c>
      <c r="I107" s="933">
        <f>+H107+Q_IS!K105</f>
        <v>-9.58</v>
      </c>
    </row>
    <row r="108" spans="2:9" ht="16.2" customHeight="1">
      <c r="B108" s="601" t="s">
        <v>500</v>
      </c>
      <c r="C108" s="593"/>
      <c r="D108" s="1035"/>
      <c r="E108" s="1036"/>
      <c r="F108" s="1036"/>
      <c r="G108" s="1036"/>
      <c r="H108" s="1036"/>
      <c r="I108" s="934"/>
    </row>
    <row r="109" spans="2:9" ht="16.2" customHeight="1">
      <c r="B109" s="582" t="s">
        <v>425</v>
      </c>
      <c r="C109" s="583" t="s">
        <v>212</v>
      </c>
      <c r="D109" s="1037">
        <f>+Q_IS!D107</f>
        <v>0</v>
      </c>
      <c r="E109" s="1038">
        <f>+D109+Q_IS!E107</f>
        <v>0</v>
      </c>
      <c r="F109" s="1038">
        <f>+E109+Q_IS!F107</f>
        <v>0</v>
      </c>
      <c r="G109" s="1038">
        <f>+F109+Q_IS!G107</f>
        <v>0</v>
      </c>
      <c r="H109" s="1038">
        <f>+Q_IS!H107</f>
        <v>0</v>
      </c>
      <c r="I109" s="935">
        <f>+H109+Q_IS!K107</f>
        <v>0</v>
      </c>
    </row>
    <row r="110" spans="2:9" ht="16.2" customHeight="1">
      <c r="B110" s="582" t="s">
        <v>426</v>
      </c>
      <c r="C110" s="583" t="s">
        <v>429</v>
      </c>
      <c r="D110" s="1037">
        <f>+Q_IS!D108</f>
        <v>0</v>
      </c>
      <c r="E110" s="1038">
        <f>+D110+Q_IS!E108</f>
        <v>0</v>
      </c>
      <c r="F110" s="1038">
        <f>+E110+Q_IS!F108</f>
        <v>0</v>
      </c>
      <c r="G110" s="1038">
        <f>+F110+Q_IS!G108</f>
        <v>0</v>
      </c>
      <c r="H110" s="1034">
        <f>+Q_IS!H108</f>
        <v>-3.7709999999999999</v>
      </c>
      <c r="I110" s="933">
        <f>+H110+Q_IS!K108</f>
        <v>-10.67</v>
      </c>
    </row>
    <row r="111" spans="2:9" ht="16.2" customHeight="1">
      <c r="B111" s="601" t="s">
        <v>428</v>
      </c>
      <c r="C111" s="593"/>
      <c r="D111" s="1035"/>
      <c r="E111" s="1036"/>
      <c r="F111" s="1036"/>
      <c r="G111" s="1036"/>
      <c r="H111" s="1036"/>
      <c r="I111" s="934"/>
    </row>
    <row r="112" spans="2:9" ht="16.2" customHeight="1">
      <c r="B112" s="582" t="s">
        <v>425</v>
      </c>
      <c r="C112" s="583" t="s">
        <v>212</v>
      </c>
      <c r="D112" s="1033">
        <f>+Q_IS!D110</f>
        <v>0</v>
      </c>
      <c r="E112" s="1034">
        <f>+D112+Q_IS!E110</f>
        <v>32.991</v>
      </c>
      <c r="F112" s="1034">
        <f>+E112+Q_IS!F110</f>
        <v>34.871000000000002</v>
      </c>
      <c r="G112" s="1034">
        <f>+F112+Q_IS!G110</f>
        <v>424.35500000000002</v>
      </c>
      <c r="H112" s="1034">
        <f>+Q_IS!H110</f>
        <v>239.41800000000001</v>
      </c>
      <c r="I112" s="933">
        <f>+H112+Q_IS!K110</f>
        <v>444.80399999999997</v>
      </c>
    </row>
    <row r="113" spans="2:9" ht="16.2" customHeight="1">
      <c r="B113" s="582" t="s">
        <v>426</v>
      </c>
      <c r="C113" s="583" t="s">
        <v>429</v>
      </c>
      <c r="D113" s="1033">
        <f>+Q_IS!D111</f>
        <v>-334.68200000000002</v>
      </c>
      <c r="E113" s="1034">
        <f>+D113+Q_IS!E111</f>
        <v>-599.24300000000005</v>
      </c>
      <c r="F113" s="1034">
        <f>+E113+Q_IS!F111</f>
        <v>-1075.212</v>
      </c>
      <c r="G113" s="1034">
        <f>+F113+Q_IS!G111</f>
        <v>-2396.8360000000002</v>
      </c>
      <c r="H113" s="1034">
        <f>+Q_IS!H111</f>
        <v>-350.92200000000003</v>
      </c>
      <c r="I113" s="933">
        <f>+H113+Q_IS!K111</f>
        <v>-1012.514</v>
      </c>
    </row>
    <row r="114" spans="2:9" ht="16.2" customHeight="1">
      <c r="B114" s="601" t="s">
        <v>513</v>
      </c>
      <c r="C114" s="593"/>
      <c r="D114" s="1035"/>
      <c r="E114" s="1036"/>
      <c r="F114" s="1036"/>
      <c r="G114" s="1036"/>
      <c r="H114" s="1036"/>
      <c r="I114" s="934"/>
    </row>
    <row r="115" spans="2:9" ht="16.2" customHeight="1">
      <c r="B115" s="582" t="s">
        <v>425</v>
      </c>
      <c r="C115" s="583" t="s">
        <v>212</v>
      </c>
      <c r="D115" s="1037">
        <f>+Q_IS!D113</f>
        <v>0</v>
      </c>
      <c r="E115" s="1038">
        <f>+D115+Q_IS!E113</f>
        <v>0</v>
      </c>
      <c r="F115" s="1038">
        <f>+E115+Q_IS!F113</f>
        <v>0</v>
      </c>
      <c r="G115" s="1038">
        <f>+F115+Q_IS!G113</f>
        <v>0</v>
      </c>
      <c r="H115" s="1034">
        <f>+Q_IS!H113</f>
        <v>1516.8510000000001</v>
      </c>
      <c r="I115" s="933">
        <f>+H115+Q_IS!K113</f>
        <v>3562.8470000000002</v>
      </c>
    </row>
    <row r="116" spans="2:9" ht="16.2" customHeight="1">
      <c r="B116" s="582" t="s">
        <v>426</v>
      </c>
      <c r="C116" s="583" t="s">
        <v>429</v>
      </c>
      <c r="D116" s="1037">
        <f>+Q_IS!D114</f>
        <v>0</v>
      </c>
      <c r="E116" s="1038">
        <f>+D116+Q_IS!E114</f>
        <v>0</v>
      </c>
      <c r="F116" s="1038">
        <f>+E116+Q_IS!F114</f>
        <v>0</v>
      </c>
      <c r="G116" s="1038">
        <f>+F116+Q_IS!G114</f>
        <v>0</v>
      </c>
      <c r="H116" s="1034">
        <f>+Q_IS!H114</f>
        <v>17.954000000000001</v>
      </c>
      <c r="I116" s="933">
        <f>+H116+Q_IS!K114</f>
        <v>286.85200000000003</v>
      </c>
    </row>
    <row r="117" spans="2:9" ht="16.2" customHeight="1">
      <c r="B117" s="601" t="s">
        <v>427</v>
      </c>
      <c r="C117" s="593"/>
      <c r="D117" s="1035"/>
      <c r="E117" s="1036"/>
      <c r="F117" s="1036"/>
      <c r="G117" s="1036"/>
      <c r="H117" s="1036"/>
      <c r="I117" s="934"/>
    </row>
    <row r="118" spans="2:9" ht="16.2" customHeight="1">
      <c r="B118" s="582" t="s">
        <v>425</v>
      </c>
      <c r="C118" s="583" t="s">
        <v>212</v>
      </c>
      <c r="D118" s="1037">
        <f>+Q_IS!D116</f>
        <v>0</v>
      </c>
      <c r="E118" s="1038">
        <f>+D118+Q_IS!E116</f>
        <v>0</v>
      </c>
      <c r="F118" s="1038">
        <f>+E118+Q_IS!F116</f>
        <v>0</v>
      </c>
      <c r="G118" s="1038">
        <f>+F118+Q_IS!G116</f>
        <v>0</v>
      </c>
      <c r="H118" s="1034">
        <f>+Q_IS!H116</f>
        <v>4826.2160000000003</v>
      </c>
      <c r="I118" s="933">
        <f>+H118+Q_IS!K116</f>
        <v>23722.081000000002</v>
      </c>
    </row>
    <row r="119" spans="2:9" ht="16.2" customHeight="1">
      <c r="B119" s="582" t="s">
        <v>426</v>
      </c>
      <c r="C119" s="583" t="s">
        <v>429</v>
      </c>
      <c r="D119" s="1037">
        <f>+Q_IS!D117</f>
        <v>0</v>
      </c>
      <c r="E119" s="1038">
        <f>+D119+Q_IS!E117</f>
        <v>0</v>
      </c>
      <c r="F119" s="1038">
        <f>+E119+Q_IS!F117</f>
        <v>0</v>
      </c>
      <c r="G119" s="1038">
        <f>+F119+Q_IS!G117</f>
        <v>0</v>
      </c>
      <c r="H119" s="1034">
        <f>+Q_IS!H117</f>
        <v>-2177.297</v>
      </c>
      <c r="I119" s="933">
        <f>+H119+Q_IS!K117</f>
        <v>-15163.821</v>
      </c>
    </row>
    <row r="120" spans="2:9" ht="16.2" customHeight="1">
      <c r="B120" s="601" t="s">
        <v>483</v>
      </c>
      <c r="C120" s="593"/>
      <c r="D120" s="1039"/>
      <c r="E120" s="1040"/>
      <c r="F120" s="1040"/>
      <c r="G120" s="1040"/>
      <c r="H120" s="1036"/>
      <c r="I120" s="934"/>
    </row>
    <row r="121" spans="2:9" ht="16.2" customHeight="1">
      <c r="B121" s="582" t="s">
        <v>425</v>
      </c>
      <c r="C121" s="583" t="s">
        <v>212</v>
      </c>
      <c r="D121" s="1037">
        <f>+Q_IS!D119</f>
        <v>0</v>
      </c>
      <c r="E121" s="1038">
        <f>+D121+Q_IS!E119</f>
        <v>0</v>
      </c>
      <c r="F121" s="1038">
        <f>+E121+Q_IS!F119</f>
        <v>0</v>
      </c>
      <c r="G121" s="1038">
        <f>+F121+Q_IS!G119</f>
        <v>0</v>
      </c>
      <c r="H121" s="1034">
        <f>+Q_IS!H119</f>
        <v>616.4</v>
      </c>
      <c r="I121" s="933">
        <f>+H121+Q_IS!K119</f>
        <v>1243.3399999999999</v>
      </c>
    </row>
    <row r="122" spans="2:9" ht="16.2" customHeight="1">
      <c r="B122" s="582" t="s">
        <v>426</v>
      </c>
      <c r="C122" s="583" t="s">
        <v>429</v>
      </c>
      <c r="D122" s="1037">
        <f>+Q_IS!D120</f>
        <v>0</v>
      </c>
      <c r="E122" s="1038">
        <f>+D122+Q_IS!E120</f>
        <v>0</v>
      </c>
      <c r="F122" s="1038">
        <f>+E122+Q_IS!F120</f>
        <v>0</v>
      </c>
      <c r="G122" s="1038">
        <f>+F122+Q_IS!G120</f>
        <v>0</v>
      </c>
      <c r="H122" s="1034">
        <f>+Q_IS!H120</f>
        <v>125.925</v>
      </c>
      <c r="I122" s="933">
        <f>+H122+Q_IS!K120</f>
        <v>206.84399999999999</v>
      </c>
    </row>
    <row r="123" spans="2:9" ht="16.2" customHeight="1">
      <c r="B123" s="601" t="s">
        <v>512</v>
      </c>
      <c r="C123" s="593"/>
      <c r="D123" s="1039"/>
      <c r="E123" s="1040"/>
      <c r="F123" s="1040"/>
      <c r="G123" s="1040"/>
      <c r="H123" s="1036"/>
      <c r="I123" s="934"/>
    </row>
    <row r="124" spans="2:9" ht="16.2" customHeight="1">
      <c r="B124" s="582" t="s">
        <v>425</v>
      </c>
      <c r="C124" s="583" t="s">
        <v>212</v>
      </c>
      <c r="D124" s="1037">
        <f>+Q_IS!D122</f>
        <v>0</v>
      </c>
      <c r="E124" s="1038">
        <f>+D124+Q_IS!E122</f>
        <v>0</v>
      </c>
      <c r="F124" s="1038">
        <f>+E124+Q_IS!F122</f>
        <v>0</v>
      </c>
      <c r="G124" s="1038">
        <f>+F124+Q_IS!G122</f>
        <v>0</v>
      </c>
      <c r="H124" s="1034">
        <f>+Q_IS!H122</f>
        <v>299.536</v>
      </c>
      <c r="I124" s="933">
        <f>+H124+Q_IS!K122</f>
        <v>2114.7930000000001</v>
      </c>
    </row>
    <row r="125" spans="2:9" ht="16.2" customHeight="1">
      <c r="B125" s="611" t="s">
        <v>426</v>
      </c>
      <c r="C125" s="763" t="s">
        <v>429</v>
      </c>
      <c r="D125" s="1041">
        <f>+Q_IS!D123</f>
        <v>0</v>
      </c>
      <c r="E125" s="1042">
        <f>+D125+Q_IS!E123</f>
        <v>0</v>
      </c>
      <c r="F125" s="1042">
        <f>+E125+Q_IS!F123</f>
        <v>0</v>
      </c>
      <c r="G125" s="1042">
        <f>+F125+Q_IS!G123</f>
        <v>0</v>
      </c>
      <c r="H125" s="1043">
        <f>+Q_IS!H123</f>
        <v>19.741</v>
      </c>
      <c r="I125" s="985">
        <f>+H125+Q_IS!K123</f>
        <v>246.22499999999997</v>
      </c>
    </row>
  </sheetData>
  <phoneticPr fontId="3" type="noConversion"/>
  <conditionalFormatting sqref="D1:K1 D25:K25 D45:K45">
    <cfRule type="cellIs" dxfId="357" priority="44" operator="equal">
      <formula>0</formula>
    </cfRule>
  </conditionalFormatting>
  <conditionalFormatting sqref="J27">
    <cfRule type="cellIs" dxfId="356" priority="9" operator="lessThan">
      <formula>0</formula>
    </cfRule>
    <cfRule type="cellIs" dxfId="355" priority="10" operator="greaterThan">
      <formula>0</formula>
    </cfRule>
  </conditionalFormatting>
  <conditionalFormatting sqref="J41">
    <cfRule type="cellIs" dxfId="354" priority="17" operator="lessThan">
      <formula>0</formula>
    </cfRule>
    <cfRule type="cellIs" dxfId="353" priority="18" operator="greaterThan">
      <formula>0</formula>
    </cfRule>
  </conditionalFormatting>
  <conditionalFormatting sqref="J61">
    <cfRule type="cellIs" dxfId="352" priority="11" operator="lessThan">
      <formula>0</formula>
    </cfRule>
    <cfRule type="cellIs" dxfId="351" priority="12" operator="greaterThan">
      <formula>0</formula>
    </cfRule>
  </conditionalFormatting>
  <conditionalFormatting sqref="J85">
    <cfRule type="cellIs" dxfId="350" priority="7" operator="lessThan">
      <formula>0</formula>
    </cfRule>
    <cfRule type="cellIs" dxfId="349" priority="8" operator="greaterThan">
      <formula>0</formula>
    </cfRule>
  </conditionalFormatting>
  <conditionalFormatting sqref="L85">
    <cfRule type="cellIs" dxfId="348" priority="3" operator="lessThan">
      <formula>0</formula>
    </cfRule>
    <cfRule type="cellIs" dxfId="347" priority="4" operator="greaterThan">
      <formula>0</formula>
    </cfRule>
  </conditionalFormatting>
  <pageMargins left="0.23622047244094491" right="0.23622047244094491" top="0.74803149606299213" bottom="0.74803149606299213" header="0.31496062992125984" footer="0.31496062992125984"/>
  <pageSetup paperSize="9" scale="94"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F7DFF9-D542-484B-B005-3378DA79B074}">
  <sheetPr>
    <pageSetUpPr fitToPage="1"/>
  </sheetPr>
  <dimension ref="A1:AM108"/>
  <sheetViews>
    <sheetView showGridLines="0" view="pageBreakPreview" zoomScaleNormal="100" zoomScaleSheetLayoutView="100" workbookViewId="0">
      <pane xSplit="3" ySplit="2" topLeftCell="AD9" activePane="bottomRight" state="frozen"/>
      <selection activeCell="D4" sqref="D4:G24"/>
      <selection pane="topRight" activeCell="D4" sqref="D4:G24"/>
      <selection pane="bottomLeft" activeCell="D4" sqref="D4:G24"/>
      <selection pane="bottomRight" activeCell="AI53" sqref="AI53"/>
    </sheetView>
  </sheetViews>
  <sheetFormatPr defaultColWidth="8.69921875" defaultRowHeight="16.2" customHeight="1" outlineLevelRow="1" outlineLevelCol="1"/>
  <cols>
    <col min="1" max="1" width="3.5" style="141" customWidth="1"/>
    <col min="2" max="2" width="14.19921875" style="3" customWidth="1"/>
    <col min="3" max="3" width="26.69921875" style="3" bestFit="1" customWidth="1"/>
    <col min="4" max="27" width="9.19921875" style="297" hidden="1" customWidth="1" outlineLevel="1"/>
    <col min="28" max="28" width="9.19921875" style="297" customWidth="1" collapsed="1"/>
    <col min="29" max="37" width="9.19921875" style="297" customWidth="1"/>
    <col min="38" max="39" width="9.19921875" style="297" hidden="1" customWidth="1"/>
    <col min="40" max="40" width="16" style="3" customWidth="1"/>
    <col min="41" max="16384" width="8.69921875" style="3"/>
  </cols>
  <sheetData>
    <row r="1" spans="1:39" ht="16.2" customHeight="1" thickBot="1">
      <c r="A1" s="142"/>
      <c r="B1" s="1" t="s">
        <v>224</v>
      </c>
      <c r="C1" s="1"/>
      <c r="AE1" s="553" t="s">
        <v>315</v>
      </c>
    </row>
    <row r="2" spans="1:39" s="1" customFormat="1" ht="16.2" customHeight="1">
      <c r="A2" s="141"/>
      <c r="B2" s="95" t="str">
        <f>'Q_SG&amp;A'!B2</f>
        <v>(단위 : 백만원)</v>
      </c>
      <c r="C2" s="96" t="str">
        <f>'Q_SG&amp;A'!C2</f>
        <v>(Unit: Million KRW)</v>
      </c>
      <c r="D2" s="498" t="s">
        <v>293</v>
      </c>
      <c r="E2" s="499" t="s">
        <v>335</v>
      </c>
      <c r="F2" s="499" t="s">
        <v>336</v>
      </c>
      <c r="G2" s="500" t="s">
        <v>337</v>
      </c>
      <c r="H2" s="498" t="s">
        <v>297</v>
      </c>
      <c r="I2" s="499" t="s">
        <v>338</v>
      </c>
      <c r="J2" s="499" t="s">
        <v>339</v>
      </c>
      <c r="K2" s="500" t="s">
        <v>340</v>
      </c>
      <c r="L2" s="498" t="s">
        <v>301</v>
      </c>
      <c r="M2" s="499" t="s">
        <v>341</v>
      </c>
      <c r="N2" s="499" t="s">
        <v>342</v>
      </c>
      <c r="O2" s="500" t="s">
        <v>343</v>
      </c>
      <c r="P2" s="498" t="s">
        <v>305</v>
      </c>
      <c r="Q2" s="499" t="s">
        <v>344</v>
      </c>
      <c r="R2" s="499" t="s">
        <v>345</v>
      </c>
      <c r="S2" s="500" t="s">
        <v>346</v>
      </c>
      <c r="T2" s="498" t="s">
        <v>282</v>
      </c>
      <c r="U2" s="499" t="s">
        <v>347</v>
      </c>
      <c r="V2" s="499" t="s">
        <v>348</v>
      </c>
      <c r="W2" s="500" t="s">
        <v>349</v>
      </c>
      <c r="X2" s="498" t="s">
        <v>286</v>
      </c>
      <c r="Y2" s="499" t="s">
        <v>350</v>
      </c>
      <c r="Z2" s="499" t="s">
        <v>351</v>
      </c>
      <c r="AA2" s="500" t="s">
        <v>352</v>
      </c>
      <c r="AB2" s="498" t="s">
        <v>197</v>
      </c>
      <c r="AC2" s="499" t="s">
        <v>279</v>
      </c>
      <c r="AD2" s="499" t="s">
        <v>280</v>
      </c>
      <c r="AE2" s="500" t="s">
        <v>281</v>
      </c>
      <c r="AF2" s="498" t="s">
        <v>244</v>
      </c>
      <c r="AG2" s="499" t="s">
        <v>326</v>
      </c>
      <c r="AH2" s="499" t="s">
        <v>356</v>
      </c>
      <c r="AI2" s="500" t="s">
        <v>454</v>
      </c>
      <c r="AJ2" s="498" t="s">
        <v>474</v>
      </c>
      <c r="AK2" s="499" t="s">
        <v>478</v>
      </c>
      <c r="AL2" s="499" t="s">
        <v>479</v>
      </c>
      <c r="AM2" s="500" t="s">
        <v>480</v>
      </c>
    </row>
    <row r="3" spans="1:39" s="1" customFormat="1" ht="16.2" customHeight="1">
      <c r="A3" s="141"/>
      <c r="B3" s="97" t="str">
        <f>'Q_SG&amp;A'!B3</f>
        <v>급여</v>
      </c>
      <c r="C3" s="98" t="str">
        <f>'Q_SG&amp;A'!C3</f>
        <v>Salaries</v>
      </c>
      <c r="D3" s="472">
        <v>1185.4449999999999</v>
      </c>
      <c r="E3" s="473">
        <v>2732.9030000000002</v>
      </c>
      <c r="F3" s="473">
        <v>4532.4870000000001</v>
      </c>
      <c r="G3" s="304">
        <v>6188.9480000000003</v>
      </c>
      <c r="H3" s="472">
        <v>1503.5239999999999</v>
      </c>
      <c r="I3" s="473">
        <v>3877.0830000000001</v>
      </c>
      <c r="J3" s="473">
        <v>5601.8150000000005</v>
      </c>
      <c r="K3" s="304">
        <v>7740.0240000000003</v>
      </c>
      <c r="L3" s="472">
        <v>1475.0540000000001</v>
      </c>
      <c r="M3" s="473">
        <v>3867.1950000000002</v>
      </c>
      <c r="N3" s="473">
        <v>5413.7560000000003</v>
      </c>
      <c r="O3" s="304">
        <v>8366.648000000001</v>
      </c>
      <c r="P3" s="472">
        <v>2328.0590000000002</v>
      </c>
      <c r="Q3" s="473">
        <v>4677.1499999999996</v>
      </c>
      <c r="R3" s="473">
        <v>7105.5450000000001</v>
      </c>
      <c r="S3" s="304">
        <v>9137.4449999999997</v>
      </c>
      <c r="T3" s="472">
        <f>'Q_SG&amp;A'!AR3</f>
        <v>2562.6559999999999</v>
      </c>
      <c r="U3" s="473">
        <f>T3+'Q_SG&amp;A'!AU3</f>
        <v>5108.8269999999993</v>
      </c>
      <c r="V3" s="473">
        <f>U3+'Q_SG&amp;A'!AX3</f>
        <v>7937.0301799999997</v>
      </c>
      <c r="W3" s="304">
        <f>V3+'Q_SG&amp;A'!BA3</f>
        <v>10022.963777999999</v>
      </c>
      <c r="X3" s="472">
        <f>'Q_SG&amp;A'!BD3</f>
        <v>2200.024531</v>
      </c>
      <c r="Y3" s="473">
        <f>X3+'Q_SG&amp;A'!BG3</f>
        <v>4637.2264240000004</v>
      </c>
      <c r="Z3" s="473">
        <f>Y3+'Q_SG&amp;A'!BJ3</f>
        <v>7170.2424210000008</v>
      </c>
      <c r="AA3" s="304">
        <f>Z3+'Q_SG&amp;A'!BM3</f>
        <v>9671.091421000001</v>
      </c>
      <c r="AB3" s="472">
        <f>'Q_SG&amp;A'!BP3</f>
        <v>2749.2179999999998</v>
      </c>
      <c r="AC3" s="473">
        <f>AB3+'Q_SG&amp;A'!BS3</f>
        <v>5614.1689999999999</v>
      </c>
      <c r="AD3" s="473">
        <f>AC3+'Q_SG&amp;A'!BV3</f>
        <v>8802.0589999999993</v>
      </c>
      <c r="AE3" s="304">
        <f>AD3+'Q_SG&amp;A'!BY3</f>
        <v>12486.143</v>
      </c>
      <c r="AF3" s="472">
        <f>'Q_SG&amp;A'!CB3</f>
        <v>3882</v>
      </c>
      <c r="AG3" s="473">
        <f>AF3+'Q_SG&amp;A'!CE3</f>
        <v>7658.7</v>
      </c>
      <c r="AH3" s="473">
        <f>AG3+'Q_SG&amp;A'!CH3</f>
        <v>11776.511999999999</v>
      </c>
      <c r="AI3" s="304">
        <f>AH3+'Q_SG&amp;A'!CK3</f>
        <v>15654.006999999998</v>
      </c>
      <c r="AJ3" s="474">
        <f>'Q_SG&amp;A'!CN3</f>
        <v>4469</v>
      </c>
      <c r="AK3" s="475">
        <f>AJ3+'Q_SG&amp;A'!CQ3</f>
        <v>10008.922999999999</v>
      </c>
      <c r="AL3" s="475">
        <f>AK3+'Q_SG&amp;A'!CT3</f>
        <v>10008.922999999999</v>
      </c>
      <c r="AM3" s="310">
        <f>AL3+'Q_SG&amp;A'!CW3</f>
        <v>10008.922999999999</v>
      </c>
    </row>
    <row r="4" spans="1:39" s="1" customFormat="1" ht="16.2" customHeight="1">
      <c r="A4" s="141"/>
      <c r="B4" s="99" t="str">
        <f>'Q_SG&amp;A'!B4</f>
        <v>경상연구개발비</v>
      </c>
      <c r="C4" s="98" t="str">
        <f>'Q_SG&amp;A'!C4</f>
        <v>R&amp;D Expenses</v>
      </c>
      <c r="D4" s="472">
        <v>462.74799999999999</v>
      </c>
      <c r="E4" s="473">
        <v>1019.444</v>
      </c>
      <c r="F4" s="473">
        <v>1430.704</v>
      </c>
      <c r="G4" s="304">
        <v>1528.768</v>
      </c>
      <c r="H4" s="472">
        <v>319.90499999999997</v>
      </c>
      <c r="I4" s="473">
        <v>869.55</v>
      </c>
      <c r="J4" s="473">
        <v>1394.5029999999999</v>
      </c>
      <c r="K4" s="304">
        <v>1923.598</v>
      </c>
      <c r="L4" s="472">
        <v>401.61700000000002</v>
      </c>
      <c r="M4" s="473">
        <v>1053.384</v>
      </c>
      <c r="N4" s="473">
        <v>1537.421</v>
      </c>
      <c r="O4" s="304">
        <v>3115.05</v>
      </c>
      <c r="P4" s="472">
        <v>800.79</v>
      </c>
      <c r="Q4" s="473">
        <v>2485.8869999999997</v>
      </c>
      <c r="R4" s="473">
        <v>3718.1789999999996</v>
      </c>
      <c r="S4" s="304">
        <v>4700.5929999999998</v>
      </c>
      <c r="T4" s="472">
        <f>'Q_SG&amp;A'!AR4</f>
        <v>1092.835</v>
      </c>
      <c r="U4" s="473">
        <f>T4+'Q_SG&amp;A'!AU4</f>
        <v>2111.2551669999998</v>
      </c>
      <c r="V4" s="473">
        <f>U4+'Q_SG&amp;A'!AX4</f>
        <v>3114.7865839999999</v>
      </c>
      <c r="W4" s="304">
        <f>V4+'Q_SG&amp;A'!BA4</f>
        <v>4429.7771059999995</v>
      </c>
      <c r="X4" s="472">
        <f>'Q_SG&amp;A'!BD4</f>
        <v>2115.6628559999999</v>
      </c>
      <c r="Y4" s="473">
        <f>X4+'Q_SG&amp;A'!BG4</f>
        <v>4398.0632540000006</v>
      </c>
      <c r="Z4" s="473">
        <f>Y4+'Q_SG&amp;A'!BJ4</f>
        <v>6611.3567690000009</v>
      </c>
      <c r="AA4" s="304">
        <f>Z4+'Q_SG&amp;A'!BM4</f>
        <v>9200.6427690000019</v>
      </c>
      <c r="AB4" s="472">
        <f>'Q_SG&amp;A'!BP4</f>
        <v>2799.6509999999998</v>
      </c>
      <c r="AC4" s="473">
        <f>AB4+'Q_SG&amp;A'!BS4</f>
        <v>5623.857</v>
      </c>
      <c r="AD4" s="473">
        <f>AC4+'Q_SG&amp;A'!BV4</f>
        <v>8699.8080000000009</v>
      </c>
      <c r="AE4" s="304">
        <f>AD4+'Q_SG&amp;A'!BY4</f>
        <v>12617.668000000001</v>
      </c>
      <c r="AF4" s="472">
        <f>'Q_SG&amp;A'!CB4</f>
        <v>4156</v>
      </c>
      <c r="AG4" s="473">
        <f>AF4+'Q_SG&amp;A'!CE4</f>
        <v>8397</v>
      </c>
      <c r="AH4" s="473">
        <f>AG4+'Q_SG&amp;A'!CH4</f>
        <v>12753.424999999999</v>
      </c>
      <c r="AI4" s="304">
        <f>AH4+'Q_SG&amp;A'!CK4</f>
        <v>17439.465</v>
      </c>
      <c r="AJ4" s="474">
        <f>'Q_SG&amp;A'!CN4</f>
        <v>4706.317</v>
      </c>
      <c r="AK4" s="475">
        <f>AJ4+'Q_SG&amp;A'!CQ4</f>
        <v>10667.014999999999</v>
      </c>
      <c r="AL4" s="475">
        <f>AK4+'Q_SG&amp;A'!CT4</f>
        <v>10667.014999999999</v>
      </c>
      <c r="AM4" s="310">
        <f>AL4+'Q_SG&amp;A'!CW4</f>
        <v>10667.014999999999</v>
      </c>
    </row>
    <row r="5" spans="1:39" s="1" customFormat="1" ht="16.2" customHeight="1">
      <c r="A5" s="141"/>
      <c r="B5" s="99" t="str">
        <f>'Q_SG&amp;A'!B5</f>
        <v>광고선전비</v>
      </c>
      <c r="C5" s="98" t="str">
        <f>'Q_SG&amp;A'!C5</f>
        <v>Advertising</v>
      </c>
      <c r="D5" s="472">
        <v>238.93</v>
      </c>
      <c r="E5" s="473">
        <v>642.77800000000002</v>
      </c>
      <c r="F5" s="473">
        <v>930.01900000000001</v>
      </c>
      <c r="G5" s="304">
        <v>1347.8890000000001</v>
      </c>
      <c r="H5" s="472">
        <v>674.73800000000006</v>
      </c>
      <c r="I5" s="473">
        <v>1319.1260000000002</v>
      </c>
      <c r="J5" s="473">
        <v>1919.7040000000002</v>
      </c>
      <c r="K5" s="304">
        <v>2343.8130000000001</v>
      </c>
      <c r="L5" s="472">
        <v>267.22399999999999</v>
      </c>
      <c r="M5" s="473">
        <v>388.65800000000002</v>
      </c>
      <c r="N5" s="473">
        <v>589.69100000000003</v>
      </c>
      <c r="O5" s="304">
        <v>840.21800000000007</v>
      </c>
      <c r="P5" s="472">
        <v>799.553</v>
      </c>
      <c r="Q5" s="473">
        <v>1653.0630000000001</v>
      </c>
      <c r="R5" s="473">
        <v>2007.4760000000001</v>
      </c>
      <c r="S5" s="304">
        <v>4215.0730000000003</v>
      </c>
      <c r="T5" s="472">
        <f>'Q_SG&amp;A'!AR5</f>
        <v>1609.318</v>
      </c>
      <c r="U5" s="473">
        <f>T5+'Q_SG&amp;A'!AU5</f>
        <v>3611.511782</v>
      </c>
      <c r="V5" s="473">
        <f>U5+'Q_SG&amp;A'!AX5</f>
        <v>4723.8017820000005</v>
      </c>
      <c r="W5" s="304">
        <f>V5+'Q_SG&amp;A'!BA5</f>
        <v>5914.1873810000006</v>
      </c>
      <c r="X5" s="472">
        <f>'Q_SG&amp;A'!BD5</f>
        <v>1318.646467</v>
      </c>
      <c r="Y5" s="473">
        <f>X5+'Q_SG&amp;A'!BG5</f>
        <v>5021.5207250000003</v>
      </c>
      <c r="Z5" s="473">
        <f>Y5+'Q_SG&amp;A'!BJ5</f>
        <v>6487.9409599999999</v>
      </c>
      <c r="AA5" s="304">
        <f>Z5+'Q_SG&amp;A'!BM5</f>
        <v>9029.7379600000004</v>
      </c>
      <c r="AB5" s="472">
        <f>'Q_SG&amp;A'!BP5</f>
        <v>2227.27</v>
      </c>
      <c r="AC5" s="473">
        <f>AB5+'Q_SG&amp;A'!BS5</f>
        <v>4743.6239999999998</v>
      </c>
      <c r="AD5" s="473">
        <f>AC5+'Q_SG&amp;A'!BV5</f>
        <v>9481.2469999999994</v>
      </c>
      <c r="AE5" s="304">
        <f>AD5+'Q_SG&amp;A'!BY5</f>
        <v>12820.741999999998</v>
      </c>
      <c r="AF5" s="472">
        <f>'Q_SG&amp;A'!CB5</f>
        <v>3641</v>
      </c>
      <c r="AG5" s="473">
        <f>AF5+'Q_SG&amp;A'!CE5</f>
        <v>6141.1</v>
      </c>
      <c r="AH5" s="473">
        <f>AG5+'Q_SG&amp;A'!CH5</f>
        <v>12128.614000000001</v>
      </c>
      <c r="AI5" s="304">
        <f>AH5+'Q_SG&amp;A'!CK5</f>
        <v>17584.755000000001</v>
      </c>
      <c r="AJ5" s="474">
        <f>'Q_SG&amp;A'!CN5</f>
        <v>5448.1490000000003</v>
      </c>
      <c r="AK5" s="475">
        <f>AJ5+'Q_SG&amp;A'!CQ5</f>
        <v>10537.078000000001</v>
      </c>
      <c r="AL5" s="475">
        <f>AK5+'Q_SG&amp;A'!CT5</f>
        <v>10537.078000000001</v>
      </c>
      <c r="AM5" s="310">
        <f>AL5+'Q_SG&amp;A'!CW5</f>
        <v>10537.078000000001</v>
      </c>
    </row>
    <row r="6" spans="1:39" s="1" customFormat="1" ht="16.2" customHeight="1">
      <c r="A6" s="141"/>
      <c r="B6" s="100" t="str">
        <f>'Q_SG&amp;A'!B6</f>
        <v>지급수수료</v>
      </c>
      <c r="C6" s="101" t="str">
        <f>'Q_SG&amp;A'!C6</f>
        <v>Commission</v>
      </c>
      <c r="D6" s="474">
        <v>425.714</v>
      </c>
      <c r="E6" s="475">
        <v>748.52499999999998</v>
      </c>
      <c r="F6" s="475">
        <v>1073.7280000000001</v>
      </c>
      <c r="G6" s="310">
        <v>1647.855</v>
      </c>
      <c r="H6" s="474">
        <v>630.08699999999999</v>
      </c>
      <c r="I6" s="475">
        <v>1374.3789999999999</v>
      </c>
      <c r="J6" s="475">
        <v>1933.567</v>
      </c>
      <c r="K6" s="310">
        <v>2540.9120000000003</v>
      </c>
      <c r="L6" s="474">
        <v>510.42599999999999</v>
      </c>
      <c r="M6" s="475">
        <v>1110.961</v>
      </c>
      <c r="N6" s="475">
        <v>1691.3980000000001</v>
      </c>
      <c r="O6" s="310">
        <v>2825.7939999999999</v>
      </c>
      <c r="P6" s="474">
        <v>523.947</v>
      </c>
      <c r="Q6" s="475">
        <v>985.80500000000006</v>
      </c>
      <c r="R6" s="475">
        <v>1496.047</v>
      </c>
      <c r="S6" s="310">
        <v>2264.7820000000002</v>
      </c>
      <c r="T6" s="474">
        <f>'Q_SG&amp;A'!AR6</f>
        <v>949.16200000000003</v>
      </c>
      <c r="U6" s="475">
        <f>T6+'Q_SG&amp;A'!AU6</f>
        <v>1957.1427630000001</v>
      </c>
      <c r="V6" s="475">
        <f>U6+'Q_SG&amp;A'!AX6</f>
        <v>3085.7977499999997</v>
      </c>
      <c r="W6" s="310">
        <f>V6+'Q_SG&amp;A'!BA6</f>
        <v>6676.4098190000004</v>
      </c>
      <c r="X6" s="474">
        <f>'Q_SG&amp;A'!BD6</f>
        <v>1768.3492180000001</v>
      </c>
      <c r="Y6" s="475">
        <f>X6+'Q_SG&amp;A'!BG6</f>
        <v>2811.6062659999998</v>
      </c>
      <c r="Z6" s="475">
        <f>Y6+'Q_SG&amp;A'!BJ6</f>
        <v>4792.3496189999996</v>
      </c>
      <c r="AA6" s="310">
        <f>Z6+'Q_SG&amp;A'!BM6</f>
        <v>7499.3386190000001</v>
      </c>
      <c r="AB6" s="474">
        <f>'Q_SG&amp;A'!BP6</f>
        <v>1694.518</v>
      </c>
      <c r="AC6" s="475">
        <f>AB6+'Q_SG&amp;A'!BS6</f>
        <v>4859.2530000000006</v>
      </c>
      <c r="AD6" s="475">
        <f>AC6+'Q_SG&amp;A'!BV6</f>
        <v>7028.9250000000011</v>
      </c>
      <c r="AE6" s="310">
        <f>AD6+'Q_SG&amp;A'!BY6</f>
        <v>10395.455000000002</v>
      </c>
      <c r="AF6" s="474">
        <f>'Q_SG&amp;A'!CB6</f>
        <v>2375</v>
      </c>
      <c r="AG6" s="475">
        <f>AF6+'Q_SG&amp;A'!CE6</f>
        <v>3969</v>
      </c>
      <c r="AH6" s="475">
        <f>AG6+'Q_SG&amp;A'!CH6</f>
        <v>6144.5519999999997</v>
      </c>
      <c r="AI6" s="310">
        <f>AH6+'Q_SG&amp;A'!CK6</f>
        <v>10674.947474000001</v>
      </c>
      <c r="AJ6" s="474">
        <f>'Q_SG&amp;A'!CN6</f>
        <v>5409.098</v>
      </c>
      <c r="AK6" s="475">
        <f>AJ6+'Q_SG&amp;A'!CQ6</f>
        <v>8768.16</v>
      </c>
      <c r="AL6" s="475">
        <f>AK6+'Q_SG&amp;A'!CT6</f>
        <v>8768.16</v>
      </c>
      <c r="AM6" s="310">
        <f>AL6+'Q_SG&amp;A'!CW6</f>
        <v>8768.16</v>
      </c>
    </row>
    <row r="7" spans="1:39" s="1" customFormat="1" ht="16.2" customHeight="1">
      <c r="A7" s="141"/>
      <c r="B7" s="100" t="str">
        <f>'Q_SG&amp;A'!B7</f>
        <v>판매수수료</v>
      </c>
      <c r="C7" s="101" t="str">
        <f>'Q_SG&amp;A'!C7</f>
        <v xml:space="preserve">Sales Commissions </v>
      </c>
      <c r="D7" s="474">
        <v>382.60899999999998</v>
      </c>
      <c r="E7" s="475">
        <v>729.745</v>
      </c>
      <c r="F7" s="475">
        <v>1068.0450000000001</v>
      </c>
      <c r="G7" s="310">
        <v>1599.3980000000001</v>
      </c>
      <c r="H7" s="474">
        <v>399.54300000000001</v>
      </c>
      <c r="I7" s="475">
        <v>1113.3130000000001</v>
      </c>
      <c r="J7" s="475">
        <v>1458.63</v>
      </c>
      <c r="K7" s="310">
        <v>1908.2040000000002</v>
      </c>
      <c r="L7" s="474">
        <v>226.07599999999999</v>
      </c>
      <c r="M7" s="475">
        <v>515.05600000000004</v>
      </c>
      <c r="N7" s="475">
        <v>696.52200000000005</v>
      </c>
      <c r="O7" s="310">
        <v>926.50200000000007</v>
      </c>
      <c r="P7" s="474">
        <v>186.137</v>
      </c>
      <c r="Q7" s="475">
        <v>467.37599999999998</v>
      </c>
      <c r="R7" s="475">
        <v>636.98699999999997</v>
      </c>
      <c r="S7" s="310">
        <v>714.71399999999994</v>
      </c>
      <c r="T7" s="474">
        <f>'Q_SG&amp;A'!AR7</f>
        <v>1687.354</v>
      </c>
      <c r="U7" s="475">
        <f>T7+'Q_SG&amp;A'!AU7</f>
        <v>2691.9794449999999</v>
      </c>
      <c r="V7" s="475">
        <f>U7+'Q_SG&amp;A'!AX7</f>
        <v>3179.6627800000001</v>
      </c>
      <c r="W7" s="310">
        <f>V7+'Q_SG&amp;A'!BA7</f>
        <v>3826.2594980000003</v>
      </c>
      <c r="X7" s="474">
        <f>'Q_SG&amp;A'!BD7</f>
        <v>578.01816399999996</v>
      </c>
      <c r="Y7" s="475">
        <f>X7+'Q_SG&amp;A'!BG7</f>
        <v>1326.2437829999999</v>
      </c>
      <c r="Z7" s="475">
        <f>Y7+'Q_SG&amp;A'!BJ7</f>
        <v>2339.7015969999998</v>
      </c>
      <c r="AA7" s="310">
        <f>Z7+'Q_SG&amp;A'!BM7</f>
        <v>3195.5285969999995</v>
      </c>
      <c r="AB7" s="474">
        <f>'Q_SG&amp;A'!BP7</f>
        <v>800.01700000000005</v>
      </c>
      <c r="AC7" s="475">
        <f>AB7+'Q_SG&amp;A'!BS7</f>
        <v>1967.441</v>
      </c>
      <c r="AD7" s="475">
        <f>AC7+'Q_SG&amp;A'!BV7</f>
        <v>2808.848</v>
      </c>
      <c r="AE7" s="310">
        <f>AD7+'Q_SG&amp;A'!BY7</f>
        <v>3423.7660000000001</v>
      </c>
      <c r="AF7" s="474">
        <f>'Q_SG&amp;A'!CB7</f>
        <v>1531</v>
      </c>
      <c r="AG7" s="475">
        <f>AF7+'Q_SG&amp;A'!CE7</f>
        <v>3316.7</v>
      </c>
      <c r="AH7" s="475">
        <f>AG7+'Q_SG&amp;A'!CH7</f>
        <v>4447.1669999999995</v>
      </c>
      <c r="AI7" s="310">
        <f>AH7+'Q_SG&amp;A'!CK7</f>
        <v>5582.32</v>
      </c>
      <c r="AJ7" s="474">
        <f>'Q_SG&amp;A'!CN7</f>
        <v>776.822</v>
      </c>
      <c r="AK7" s="475">
        <f>AJ7+'Q_SG&amp;A'!CQ7</f>
        <v>2321.2550000000001</v>
      </c>
      <c r="AL7" s="475">
        <f>AK7+'Q_SG&amp;A'!CT7</f>
        <v>2321.2550000000001</v>
      </c>
      <c r="AM7" s="310">
        <f>AL7+'Q_SG&amp;A'!CW7</f>
        <v>2321.2550000000001</v>
      </c>
    </row>
    <row r="8" spans="1:39" s="1" customFormat="1" ht="16.2" customHeight="1">
      <c r="A8" s="141"/>
      <c r="B8" s="100" t="str">
        <f>'Q_SG&amp;A'!B8</f>
        <v>감가상각비</v>
      </c>
      <c r="C8" s="101" t="str">
        <f>'Q_SG&amp;A'!C8</f>
        <v>Depreciation</v>
      </c>
      <c r="D8" s="474">
        <v>118.205</v>
      </c>
      <c r="E8" s="475">
        <v>231.04300000000001</v>
      </c>
      <c r="F8" s="475">
        <v>348.71000000000004</v>
      </c>
      <c r="G8" s="310">
        <v>472.65400000000005</v>
      </c>
      <c r="H8" s="474">
        <v>163.857</v>
      </c>
      <c r="I8" s="475">
        <v>350.31100000000004</v>
      </c>
      <c r="J8" s="475">
        <v>527.04600000000005</v>
      </c>
      <c r="K8" s="310">
        <v>665.14400000000001</v>
      </c>
      <c r="L8" s="474">
        <v>183.422</v>
      </c>
      <c r="M8" s="475">
        <v>368.64</v>
      </c>
      <c r="N8" s="475">
        <v>539.26499999999999</v>
      </c>
      <c r="O8" s="310">
        <v>739.63799999999992</v>
      </c>
      <c r="P8" s="474">
        <v>211.79900000000001</v>
      </c>
      <c r="Q8" s="475">
        <v>445.80700000000002</v>
      </c>
      <c r="R8" s="475">
        <v>693.23800000000006</v>
      </c>
      <c r="S8" s="310">
        <v>956.85200000000009</v>
      </c>
      <c r="T8" s="474">
        <f>'Q_SG&amp;A'!AR8</f>
        <v>372.00599999999997</v>
      </c>
      <c r="U8" s="475">
        <f>T8+'Q_SG&amp;A'!AU8</f>
        <v>747.75356199999999</v>
      </c>
      <c r="V8" s="475">
        <f>U8+'Q_SG&amp;A'!AX8</f>
        <v>1027.284373</v>
      </c>
      <c r="W8" s="310">
        <f>V8+'Q_SG&amp;A'!BA8</f>
        <v>1430.150449</v>
      </c>
      <c r="X8" s="474">
        <f>'Q_SG&amp;A'!BD8</f>
        <v>437.11958600000003</v>
      </c>
      <c r="Y8" s="475">
        <f>X8+'Q_SG&amp;A'!BG8</f>
        <v>906.62997600000006</v>
      </c>
      <c r="Z8" s="475">
        <f>Y8+'Q_SG&amp;A'!BJ8</f>
        <v>1424.3948209999999</v>
      </c>
      <c r="AA8" s="310">
        <f>Z8+'Q_SG&amp;A'!BM8</f>
        <v>1972.4728209999998</v>
      </c>
      <c r="AB8" s="474">
        <f>'Q_SG&amp;A'!BP8</f>
        <v>572.452</v>
      </c>
      <c r="AC8" s="475">
        <f>AB8+'Q_SG&amp;A'!BS8</f>
        <v>1158.846</v>
      </c>
      <c r="AD8" s="475">
        <f>AC8+'Q_SG&amp;A'!BV8</f>
        <v>1761.0810000000001</v>
      </c>
      <c r="AE8" s="310">
        <f>AD8+'Q_SG&amp;A'!BY8</f>
        <v>2574.8500000000004</v>
      </c>
      <c r="AF8" s="474">
        <f>'Q_SG&amp;A'!CB8</f>
        <v>725</v>
      </c>
      <c r="AG8" s="475">
        <f>AF8+'Q_SG&amp;A'!CE8</f>
        <v>1474.7</v>
      </c>
      <c r="AH8" s="475">
        <f>AG8+'Q_SG&amp;A'!CH8</f>
        <v>2254.529</v>
      </c>
      <c r="AI8" s="310">
        <f>AH8+'Q_SG&amp;A'!CK8</f>
        <v>3017.7798579999999</v>
      </c>
      <c r="AJ8" s="474">
        <f>'Q_SG&amp;A'!CN8</f>
        <v>759.05799999999999</v>
      </c>
      <c r="AK8" s="475">
        <f>AJ8+'Q_SG&amp;A'!CQ8</f>
        <v>1756.0610000000001</v>
      </c>
      <c r="AL8" s="475">
        <f>AK8+'Q_SG&amp;A'!CT8</f>
        <v>1756.0610000000001</v>
      </c>
      <c r="AM8" s="310">
        <f>AL8+'Q_SG&amp;A'!CW8</f>
        <v>1756.0610000000001</v>
      </c>
    </row>
    <row r="9" spans="1:39" ht="16.2" customHeight="1">
      <c r="B9" s="100" t="str">
        <f>'Q_SG&amp;A'!B9</f>
        <v>무형고정자산상각비</v>
      </c>
      <c r="C9" s="101" t="str">
        <f>'Q_SG&amp;A'!C9</f>
        <v>Amortization of Intangible Assets</v>
      </c>
      <c r="D9" s="474">
        <v>4.8259999999999996</v>
      </c>
      <c r="E9" s="475">
        <v>10.6</v>
      </c>
      <c r="F9" s="475">
        <v>16.491</v>
      </c>
      <c r="G9" s="310">
        <v>23.420999999999999</v>
      </c>
      <c r="H9" s="474">
        <v>7.819</v>
      </c>
      <c r="I9" s="475">
        <v>18.099</v>
      </c>
      <c r="J9" s="475">
        <v>35.771999999999998</v>
      </c>
      <c r="K9" s="310">
        <v>47.698</v>
      </c>
      <c r="L9" s="474">
        <v>21.866</v>
      </c>
      <c r="M9" s="475">
        <v>37.664000000000001</v>
      </c>
      <c r="N9" s="475">
        <v>57.018000000000001</v>
      </c>
      <c r="O9" s="310">
        <v>80.17</v>
      </c>
      <c r="P9" s="474">
        <v>33.146999999999998</v>
      </c>
      <c r="Q9" s="475">
        <v>49.98</v>
      </c>
      <c r="R9" s="475">
        <v>76.344999999999999</v>
      </c>
      <c r="S9" s="310">
        <v>107.551</v>
      </c>
      <c r="T9" s="474">
        <f>'Q_SG&amp;A'!AR9</f>
        <v>35.301000000000002</v>
      </c>
      <c r="U9" s="475">
        <f>T9+'Q_SG&amp;A'!AU9</f>
        <v>73.28536299999999</v>
      </c>
      <c r="V9" s="475">
        <f>U9+'Q_SG&amp;A'!AX9</f>
        <v>115.75936299999998</v>
      </c>
      <c r="W9" s="310">
        <f>V9+'Q_SG&amp;A'!BA9</f>
        <v>162.96363099999996</v>
      </c>
      <c r="X9" s="474">
        <f>'Q_SG&amp;A'!BD9</f>
        <v>55.694633000000003</v>
      </c>
      <c r="Y9" s="475">
        <f>X9+'Q_SG&amp;A'!BG9</f>
        <v>115.742729</v>
      </c>
      <c r="Z9" s="475">
        <f>Y9+'Q_SG&amp;A'!BJ9</f>
        <v>178.43338</v>
      </c>
      <c r="AA9" s="310">
        <f>Z9+'Q_SG&amp;A'!BM9</f>
        <v>251.92437999999999</v>
      </c>
      <c r="AB9" s="474">
        <f>'Q_SG&amp;A'!BP9</f>
        <v>77.319999999999993</v>
      </c>
      <c r="AC9" s="475">
        <f>AB9+'Q_SG&amp;A'!BS9</f>
        <v>155.21100000000001</v>
      </c>
      <c r="AD9" s="475">
        <f>AC9+'Q_SG&amp;A'!BV9</f>
        <v>240.93900000000002</v>
      </c>
      <c r="AE9" s="310">
        <f>AD9+'Q_SG&amp;A'!BY9</f>
        <v>2166.4760000000001</v>
      </c>
      <c r="AF9" s="474">
        <f>'Q_SG&amp;A'!CB9</f>
        <v>1912</v>
      </c>
      <c r="AG9" s="475">
        <f>AF9+'Q_SG&amp;A'!CE9</f>
        <v>3858.6</v>
      </c>
      <c r="AH9" s="475">
        <f>AG9+'Q_SG&amp;A'!CH9</f>
        <v>5862.87</v>
      </c>
      <c r="AI9" s="310">
        <f>AH9+'Q_SG&amp;A'!CK9</f>
        <v>7876.6570739999997</v>
      </c>
      <c r="AJ9" s="474">
        <f>'Q_SG&amp;A'!CN9</f>
        <v>2009.6980000000001</v>
      </c>
      <c r="AK9" s="475">
        <f>AJ9+'Q_SG&amp;A'!CQ9</f>
        <v>4045.2579999999998</v>
      </c>
      <c r="AL9" s="475">
        <f>AK9+'Q_SG&amp;A'!CT9</f>
        <v>4045.2579999999998</v>
      </c>
      <c r="AM9" s="310">
        <f>AL9+'Q_SG&amp;A'!CW9</f>
        <v>4045.2579999999998</v>
      </c>
    </row>
    <row r="10" spans="1:39" ht="16.2" customHeight="1">
      <c r="B10" s="100" t="str">
        <f>'Q_SG&amp;A'!B10</f>
        <v>퇴직급여</v>
      </c>
      <c r="C10" s="101" t="str">
        <f>'Q_SG&amp;A'!C10</f>
        <v>Retirement benefits</v>
      </c>
      <c r="D10" s="474">
        <v>92.655000000000001</v>
      </c>
      <c r="E10" s="475">
        <v>185.18299999999999</v>
      </c>
      <c r="F10" s="475">
        <v>287.07799999999997</v>
      </c>
      <c r="G10" s="310">
        <v>394.56899999999996</v>
      </c>
      <c r="H10" s="474">
        <v>121.11799999999999</v>
      </c>
      <c r="I10" s="475">
        <v>244.80699999999999</v>
      </c>
      <c r="J10" s="475">
        <v>377.45600000000002</v>
      </c>
      <c r="K10" s="310">
        <v>481.48200000000003</v>
      </c>
      <c r="L10" s="474">
        <v>133.63200000000001</v>
      </c>
      <c r="M10" s="475">
        <v>256.43</v>
      </c>
      <c r="N10" s="475">
        <v>384.62900000000002</v>
      </c>
      <c r="O10" s="310">
        <v>506.62</v>
      </c>
      <c r="P10" s="474">
        <v>138.61500000000001</v>
      </c>
      <c r="Q10" s="475">
        <v>277.13200000000001</v>
      </c>
      <c r="R10" s="475">
        <v>426.88</v>
      </c>
      <c r="S10" s="310">
        <v>577.90699999999993</v>
      </c>
      <c r="T10" s="474">
        <f>'Q_SG&amp;A'!AR10</f>
        <v>209.56200000000001</v>
      </c>
      <c r="U10" s="475">
        <f>T10+'Q_SG&amp;A'!AU10</f>
        <v>351.57815900000003</v>
      </c>
      <c r="V10" s="475">
        <f>U10+'Q_SG&amp;A'!AX10</f>
        <v>549.43095300000004</v>
      </c>
      <c r="W10" s="310">
        <f>V10+'Q_SG&amp;A'!BA10</f>
        <v>787.51774900000009</v>
      </c>
      <c r="X10" s="474">
        <f>'Q_SG&amp;A'!BD10</f>
        <v>150.03006299999998</v>
      </c>
      <c r="Y10" s="475">
        <f>X10+'Q_SG&amp;A'!BG10</f>
        <v>382.59948999999995</v>
      </c>
      <c r="Z10" s="475">
        <f>Y10+'Q_SG&amp;A'!BJ10</f>
        <v>563.95947499999988</v>
      </c>
      <c r="AA10" s="310">
        <f>Z10+'Q_SG&amp;A'!BM10</f>
        <v>747.37947499999984</v>
      </c>
      <c r="AB10" s="474">
        <f>'Q_SG&amp;A'!BP10</f>
        <v>246.47300000000001</v>
      </c>
      <c r="AC10" s="475">
        <f>AB10+'Q_SG&amp;A'!BS10</f>
        <v>449.39499999999998</v>
      </c>
      <c r="AD10" s="475">
        <f>AC10+'Q_SG&amp;A'!BV10</f>
        <v>680.99800000000005</v>
      </c>
      <c r="AE10" s="310">
        <f>AD10+'Q_SG&amp;A'!BY10</f>
        <v>921.49300000000005</v>
      </c>
      <c r="AF10" s="474">
        <f>'Q_SG&amp;A'!CB10</f>
        <v>279</v>
      </c>
      <c r="AG10" s="475">
        <f>AF10+'Q_SG&amp;A'!CE10</f>
        <v>531</v>
      </c>
      <c r="AH10" s="475">
        <f>AG10+'Q_SG&amp;A'!CH10</f>
        <v>782.01499999999999</v>
      </c>
      <c r="AI10" s="310">
        <f>AH10+'Q_SG&amp;A'!CK10</f>
        <v>1037.6969999999999</v>
      </c>
      <c r="AJ10" s="474">
        <f>'Q_SG&amp;A'!CN10</f>
        <v>276.48700000000002</v>
      </c>
      <c r="AK10" s="475">
        <f>AJ10+'Q_SG&amp;A'!CQ10</f>
        <v>711.68100000000004</v>
      </c>
      <c r="AL10" s="475">
        <f>AK10+'Q_SG&amp;A'!CT10</f>
        <v>711.68100000000004</v>
      </c>
      <c r="AM10" s="310">
        <f>AL10+'Q_SG&amp;A'!CW10</f>
        <v>711.68100000000004</v>
      </c>
    </row>
    <row r="11" spans="1:39" ht="16.2" customHeight="1">
      <c r="B11" s="543" t="str">
        <f>'Q_SG&amp;A'!B11</f>
        <v>기타</v>
      </c>
      <c r="C11" s="544" t="str">
        <f>'Q_SG&amp;A'!C11</f>
        <v>Others</v>
      </c>
      <c r="D11" s="545">
        <v>4.8259999999999996</v>
      </c>
      <c r="E11" s="546">
        <v>10.6</v>
      </c>
      <c r="F11" s="546">
        <v>16.491</v>
      </c>
      <c r="G11" s="547">
        <v>23.420999999999999</v>
      </c>
      <c r="H11" s="545">
        <v>7.819</v>
      </c>
      <c r="I11" s="546">
        <v>18.099</v>
      </c>
      <c r="J11" s="546">
        <v>35.771999999999998</v>
      </c>
      <c r="K11" s="547">
        <v>47.698</v>
      </c>
      <c r="L11" s="545">
        <v>21.866</v>
      </c>
      <c r="M11" s="546">
        <v>37.664000000000001</v>
      </c>
      <c r="N11" s="546">
        <v>57.018000000000001</v>
      </c>
      <c r="O11" s="547">
        <v>80.17</v>
      </c>
      <c r="P11" s="545">
        <v>33.146999999999998</v>
      </c>
      <c r="Q11" s="546">
        <v>49.98</v>
      </c>
      <c r="R11" s="546">
        <v>76.344999999999999</v>
      </c>
      <c r="S11" s="547">
        <v>107.551</v>
      </c>
      <c r="T11" s="545">
        <f>'Q_SG&amp;A'!AR11</f>
        <v>1358.5300000000002</v>
      </c>
      <c r="U11" s="546">
        <f>T11+'Q_SG&amp;A'!AU11</f>
        <v>2368.3429480000004</v>
      </c>
      <c r="V11" s="546">
        <f>U11+'Q_SG&amp;A'!AX11</f>
        <v>3760.0510110000005</v>
      </c>
      <c r="W11" s="547">
        <f>V11+'Q_SG&amp;A'!BA11</f>
        <v>6040.5869450000009</v>
      </c>
      <c r="X11" s="545">
        <f>'Q_SG&amp;A'!BD11</f>
        <v>1695.0820409999999</v>
      </c>
      <c r="Y11" s="546">
        <f>X11+'Q_SG&amp;A'!BG11</f>
        <v>3893.3684649999996</v>
      </c>
      <c r="Z11" s="546">
        <f>Y11+'Q_SG&amp;A'!BJ11</f>
        <v>6272.8338799999992</v>
      </c>
      <c r="AA11" s="547">
        <f>Z11+'Q_SG&amp;A'!BM11</f>
        <v>9258.5658799999983</v>
      </c>
      <c r="AB11" s="545">
        <f>'Q_SG&amp;A'!BP11</f>
        <v>2527.3799999999997</v>
      </c>
      <c r="AC11" s="546">
        <f>AB11+'Q_SG&amp;A'!BS11</f>
        <v>5448.0209999999988</v>
      </c>
      <c r="AD11" s="546">
        <f>AC11+'Q_SG&amp;A'!BV11</f>
        <v>8164.1419999999998</v>
      </c>
      <c r="AE11" s="547">
        <f>AD11+'Q_SG&amp;A'!BY11</f>
        <v>11278.341</v>
      </c>
      <c r="AF11" s="545">
        <f>'Q_SG&amp;A'!CB11</f>
        <v>4044</v>
      </c>
      <c r="AG11" s="546">
        <f>AF11+'Q_SG&amp;A'!CE11</f>
        <v>8205.2000000000007</v>
      </c>
      <c r="AH11" s="546">
        <f>AG11+'Q_SG&amp;A'!CH11</f>
        <v>13508.339</v>
      </c>
      <c r="AI11" s="547">
        <f>AH11+'Q_SG&amp;A'!CK11</f>
        <v>11623.339</v>
      </c>
      <c r="AJ11" s="474">
        <f>'Q_SG&amp;A'!CN11</f>
        <v>3994.5540000000001</v>
      </c>
      <c r="AK11" s="475">
        <f>AJ11+'Q_SG&amp;A'!CQ11</f>
        <v>11610.584999999999</v>
      </c>
      <c r="AL11" s="475">
        <f>AK11+'Q_SG&amp;A'!CT11</f>
        <v>11610.584999999999</v>
      </c>
      <c r="AM11" s="310">
        <f>AL11+'Q_SG&amp;A'!CW11</f>
        <v>11610.584999999999</v>
      </c>
    </row>
    <row r="12" spans="1:39" s="1" customFormat="1" ht="16.2" customHeight="1" outlineLevel="1">
      <c r="A12" s="141"/>
      <c r="B12" s="102" t="str">
        <f>'Q_SG&amp;A'!B12</f>
        <v>복리후생비</v>
      </c>
      <c r="C12" s="103" t="str">
        <f>'Q_SG&amp;A'!C12</f>
        <v>Employee Benefits</v>
      </c>
      <c r="D12" s="476">
        <v>128.41</v>
      </c>
      <c r="E12" s="477">
        <v>312.09100000000001</v>
      </c>
      <c r="F12" s="477">
        <v>472.35</v>
      </c>
      <c r="G12" s="316">
        <v>664.06700000000001</v>
      </c>
      <c r="H12" s="476">
        <v>206.15600000000001</v>
      </c>
      <c r="I12" s="477">
        <v>444.096</v>
      </c>
      <c r="J12" s="477">
        <v>683.39499999999998</v>
      </c>
      <c r="K12" s="316">
        <v>910.00299999999993</v>
      </c>
      <c r="L12" s="476">
        <v>213.88800000000001</v>
      </c>
      <c r="M12" s="477">
        <v>406.45600000000002</v>
      </c>
      <c r="N12" s="477">
        <v>638.81100000000004</v>
      </c>
      <c r="O12" s="316">
        <v>840.827</v>
      </c>
      <c r="P12" s="476">
        <v>189.59700000000001</v>
      </c>
      <c r="Q12" s="477">
        <v>502.95000000000005</v>
      </c>
      <c r="R12" s="477">
        <v>787.625</v>
      </c>
      <c r="S12" s="316">
        <v>1084.4470000000001</v>
      </c>
      <c r="T12" s="476">
        <f>'Q_SG&amp;A'!AR12</f>
        <v>454.86599999999999</v>
      </c>
      <c r="U12" s="477">
        <f>T12+'Q_SG&amp;A'!AU12</f>
        <v>721.74998600000004</v>
      </c>
      <c r="V12" s="477">
        <f>U12+'Q_SG&amp;A'!AX12</f>
        <v>1062.000528</v>
      </c>
      <c r="W12" s="316">
        <f>V12+'Q_SG&amp;A'!BA12</f>
        <v>1591.4305330000002</v>
      </c>
      <c r="X12" s="476">
        <f>'Q_SG&amp;A'!BD12</f>
        <v>233.44264999999999</v>
      </c>
      <c r="Y12" s="477">
        <f>X12+'Q_SG&amp;A'!BG12</f>
        <v>538.74420599999996</v>
      </c>
      <c r="Z12" s="477">
        <f>Y12+'Q_SG&amp;A'!BJ12</f>
        <v>887.63666699999999</v>
      </c>
      <c r="AA12" s="316">
        <f>Z12+'Q_SG&amp;A'!BM12</f>
        <v>1434.3596669999999</v>
      </c>
      <c r="AB12" s="476">
        <f>'Q_SG&amp;A'!BP12</f>
        <v>278.99400000000003</v>
      </c>
      <c r="AC12" s="477">
        <f>AB12+'Q_SG&amp;A'!BS12</f>
        <v>824.74900000000002</v>
      </c>
      <c r="AD12" s="477">
        <f>AC12+'Q_SG&amp;A'!BV12</f>
        <v>1262.771</v>
      </c>
      <c r="AE12" s="316">
        <f>AD12+'Q_SG&amp;A'!BY12</f>
        <v>2094.0329999999999</v>
      </c>
      <c r="AF12" s="476">
        <f>'Q_SG&amp;A'!CB12</f>
        <v>572</v>
      </c>
      <c r="AG12" s="1049" t="s">
        <v>353</v>
      </c>
      <c r="AH12" s="1050"/>
      <c r="AI12" s="1051"/>
      <c r="AJ12" s="1052" t="str">
        <f>'Q_SG&amp;A'!CN12</f>
        <v>No disclosure</v>
      </c>
      <c r="AK12" s="1050"/>
      <c r="AL12" s="1050"/>
      <c r="AM12" s="1051"/>
    </row>
    <row r="13" spans="1:39" s="2" customFormat="1" ht="16.2" customHeight="1" outlineLevel="1">
      <c r="A13" s="141"/>
      <c r="B13" s="102" t="str">
        <f>'Q_SG&amp;A'!B13</f>
        <v>판매보증비</v>
      </c>
      <c r="C13" s="103" t="str">
        <f>'Q_SG&amp;A'!C13</f>
        <v>Warranty Expenses</v>
      </c>
      <c r="D13" s="476">
        <v>108.063</v>
      </c>
      <c r="E13" s="477">
        <v>210.745</v>
      </c>
      <c r="F13" s="477">
        <v>445.47900000000004</v>
      </c>
      <c r="G13" s="316">
        <v>707.80200000000002</v>
      </c>
      <c r="H13" s="476">
        <v>97.972999999999999</v>
      </c>
      <c r="I13" s="477">
        <v>351.976</v>
      </c>
      <c r="J13" s="477">
        <v>536.09699999999998</v>
      </c>
      <c r="K13" s="316">
        <v>706.80700000000002</v>
      </c>
      <c r="L13" s="476">
        <v>92.710999999999999</v>
      </c>
      <c r="M13" s="477">
        <v>169.142</v>
      </c>
      <c r="N13" s="477">
        <v>337.76099999999997</v>
      </c>
      <c r="O13" s="316">
        <v>537.25800000000004</v>
      </c>
      <c r="P13" s="476">
        <v>42.658999999999999</v>
      </c>
      <c r="Q13" s="477">
        <v>237.08599999999998</v>
      </c>
      <c r="R13" s="477">
        <v>352.67499999999995</v>
      </c>
      <c r="S13" s="316">
        <v>513.2639999999999</v>
      </c>
      <c r="T13" s="476">
        <f>'Q_SG&amp;A'!AR13</f>
        <v>203.87299999999999</v>
      </c>
      <c r="U13" s="477">
        <f>T13+'Q_SG&amp;A'!AU13</f>
        <v>436.73104599999999</v>
      </c>
      <c r="V13" s="477">
        <f>U13+'Q_SG&amp;A'!AX13</f>
        <v>718.03424199999995</v>
      </c>
      <c r="W13" s="316">
        <f>V13+'Q_SG&amp;A'!BA13</f>
        <v>1159.752673</v>
      </c>
      <c r="X13" s="476">
        <f>'Q_SG&amp;A'!BD13</f>
        <v>64.267548000000005</v>
      </c>
      <c r="Y13" s="477">
        <f>X13+'Q_SG&amp;A'!BG13</f>
        <v>383.239011</v>
      </c>
      <c r="Z13" s="477">
        <f>Y13+'Q_SG&amp;A'!BJ13</f>
        <v>677.75857299999996</v>
      </c>
      <c r="AA13" s="316">
        <f>Z13+'Q_SG&amp;A'!BM13</f>
        <v>1046.0455729999999</v>
      </c>
      <c r="AB13" s="476">
        <f>'Q_SG&amp;A'!BP13</f>
        <v>132.08099999999999</v>
      </c>
      <c r="AC13" s="477">
        <f>AB13+'Q_SG&amp;A'!BS13</f>
        <v>464.51099999999997</v>
      </c>
      <c r="AD13" s="477">
        <f>AC13+'Q_SG&amp;A'!BV13</f>
        <v>832.07299999999998</v>
      </c>
      <c r="AE13" s="316">
        <f>AD13+'Q_SG&amp;A'!BY13</f>
        <v>883.61500000000001</v>
      </c>
      <c r="AF13" s="476">
        <f>'Q_SG&amp;A'!CB13</f>
        <v>110</v>
      </c>
      <c r="AG13" s="1049"/>
      <c r="AH13" s="1050"/>
      <c r="AI13" s="1051"/>
      <c r="AJ13" s="1052"/>
      <c r="AK13" s="1050"/>
      <c r="AL13" s="1050"/>
      <c r="AM13" s="1051"/>
    </row>
    <row r="14" spans="1:39" ht="16.2" customHeight="1" outlineLevel="1">
      <c r="B14" s="102" t="str">
        <f>'Q_SG&amp;A'!B14</f>
        <v>주식보상비용</v>
      </c>
      <c r="C14" s="103" t="str">
        <f>'Q_SG&amp;A'!C14</f>
        <v>Share-based Compensation</v>
      </c>
      <c r="D14" s="476">
        <v>21.449000000000002</v>
      </c>
      <c r="E14" s="477">
        <v>42.898000000000003</v>
      </c>
      <c r="F14" s="477">
        <v>64.347000000000008</v>
      </c>
      <c r="G14" s="316">
        <v>79.815000000000012</v>
      </c>
      <c r="H14" s="476">
        <v>3.5070000000000001</v>
      </c>
      <c r="I14" s="477">
        <v>7.0140000000000002</v>
      </c>
      <c r="J14" s="477">
        <v>8.1829999999999998</v>
      </c>
      <c r="K14" s="316">
        <v>8.1820000000000004</v>
      </c>
      <c r="L14" s="476" t="s">
        <v>113</v>
      </c>
      <c r="M14" s="477">
        <v>0</v>
      </c>
      <c r="N14" s="477">
        <v>0</v>
      </c>
      <c r="O14" s="316">
        <v>0</v>
      </c>
      <c r="P14" s="476" t="s">
        <v>113</v>
      </c>
      <c r="Q14" s="477">
        <v>0</v>
      </c>
      <c r="R14" s="477">
        <v>0</v>
      </c>
      <c r="S14" s="316">
        <v>0</v>
      </c>
      <c r="T14" s="476">
        <f>'Q_SG&amp;A'!AR14</f>
        <v>0</v>
      </c>
      <c r="U14" s="477">
        <f>T14+'Q_SG&amp;A'!AU14</f>
        <v>0</v>
      </c>
      <c r="V14" s="477">
        <f>U14+'Q_SG&amp;A'!AX14</f>
        <v>0</v>
      </c>
      <c r="W14" s="316">
        <f>V14+'Q_SG&amp;A'!BA14</f>
        <v>0</v>
      </c>
      <c r="X14" s="476">
        <f>'Q_SG&amp;A'!BD14</f>
        <v>11.087277</v>
      </c>
      <c r="Y14" s="477">
        <f>X14+'Q_SG&amp;A'!BG14</f>
        <v>516.82656399999996</v>
      </c>
      <c r="Z14" s="477">
        <f>Y14+'Q_SG&amp;A'!BJ14</f>
        <v>1022.772569</v>
      </c>
      <c r="AA14" s="316">
        <f>Z14+'Q_SG&amp;A'!BM14</f>
        <v>1528.7185690000001</v>
      </c>
      <c r="AB14" s="476">
        <f>'Q_SG&amp;A'!BP14</f>
        <v>420.39499999999998</v>
      </c>
      <c r="AC14" s="477">
        <f>AB14+'Q_SG&amp;A'!BS14</f>
        <v>787.14699999999993</v>
      </c>
      <c r="AD14" s="477">
        <f>AC14+'Q_SG&amp;A'!BV14</f>
        <v>1358.0149999999999</v>
      </c>
      <c r="AE14" s="316">
        <f>AD14+'Q_SG&amp;A'!BY14</f>
        <v>1958.11</v>
      </c>
      <c r="AF14" s="476">
        <f>'Q_SG&amp;A'!CB14</f>
        <v>1220</v>
      </c>
      <c r="AG14" s="1049"/>
      <c r="AH14" s="1050"/>
      <c r="AI14" s="1051"/>
      <c r="AJ14" s="1052"/>
      <c r="AK14" s="1050"/>
      <c r="AL14" s="1050"/>
      <c r="AM14" s="1051"/>
    </row>
    <row r="15" spans="1:39" ht="16.2" customHeight="1" outlineLevel="1">
      <c r="B15" s="102" t="str">
        <f>'Q_SG&amp;A'!B15</f>
        <v>여비교통비</v>
      </c>
      <c r="C15" s="103" t="str">
        <f>'Q_SG&amp;A'!C15</f>
        <v>Travel and Transportation Expenses</v>
      </c>
      <c r="D15" s="476">
        <v>86.313000000000002</v>
      </c>
      <c r="E15" s="477">
        <v>208.16500000000002</v>
      </c>
      <c r="F15" s="477">
        <v>311.15000000000003</v>
      </c>
      <c r="G15" s="316">
        <v>432.93000000000006</v>
      </c>
      <c r="H15" s="476">
        <v>115.982</v>
      </c>
      <c r="I15" s="477">
        <v>227.654</v>
      </c>
      <c r="J15" s="477">
        <v>297.65499999999997</v>
      </c>
      <c r="K15" s="316">
        <v>398.91499999999996</v>
      </c>
      <c r="L15" s="476">
        <v>45.539000000000001</v>
      </c>
      <c r="M15" s="477">
        <v>34.498000000000005</v>
      </c>
      <c r="N15" s="477">
        <v>33.779000000000003</v>
      </c>
      <c r="O15" s="316">
        <v>38.985000000000007</v>
      </c>
      <c r="P15" s="476">
        <v>1.6359999999999999</v>
      </c>
      <c r="Q15" s="477">
        <v>2.6779999999999999</v>
      </c>
      <c r="R15" s="477">
        <v>3.9609999999999999</v>
      </c>
      <c r="S15" s="316">
        <v>7.3680000000000003</v>
      </c>
      <c r="T15" s="476">
        <f>'Q_SG&amp;A'!AR15</f>
        <v>27.038</v>
      </c>
      <c r="U15" s="477">
        <f>T15+'Q_SG&amp;A'!AU15</f>
        <v>110.10534</v>
      </c>
      <c r="V15" s="477">
        <f>U15+'Q_SG&amp;A'!AX15</f>
        <v>131.529067</v>
      </c>
      <c r="W15" s="316">
        <f>V15+'Q_SG&amp;A'!BA15</f>
        <v>312.86421499999994</v>
      </c>
      <c r="X15" s="476">
        <f>'Q_SG&amp;A'!BD15</f>
        <v>297.81257699999998</v>
      </c>
      <c r="Y15" s="477">
        <f>X15+'Q_SG&amp;A'!BG15</f>
        <v>503.29296799999997</v>
      </c>
      <c r="Z15" s="477">
        <f>Y15+'Q_SG&amp;A'!BJ15</f>
        <v>833.04172199999994</v>
      </c>
      <c r="AA15" s="316">
        <f>Z15+'Q_SG&amp;A'!BM15</f>
        <v>1011.6017219999999</v>
      </c>
      <c r="AB15" s="476">
        <f>'Q_SG&amp;A'!BP15</f>
        <v>360.69</v>
      </c>
      <c r="AC15" s="477">
        <f>AB15+'Q_SG&amp;A'!BS15</f>
        <v>658.49900000000002</v>
      </c>
      <c r="AD15" s="477">
        <f>AC15+'Q_SG&amp;A'!BV15</f>
        <v>860.11800000000005</v>
      </c>
      <c r="AE15" s="316">
        <f>AD15+'Q_SG&amp;A'!BY15</f>
        <v>1231.723</v>
      </c>
      <c r="AF15" s="476">
        <f>'Q_SG&amp;A'!CB15</f>
        <v>341</v>
      </c>
      <c r="AG15" s="1049"/>
      <c r="AH15" s="1050"/>
      <c r="AI15" s="1051"/>
      <c r="AJ15" s="1052"/>
      <c r="AK15" s="1050"/>
      <c r="AL15" s="1050"/>
      <c r="AM15" s="1051"/>
    </row>
    <row r="16" spans="1:39" ht="16.2" customHeight="1" outlineLevel="1">
      <c r="B16" s="102" t="str">
        <f>'Q_SG&amp;A'!B16</f>
        <v>접대비</v>
      </c>
      <c r="C16" s="103" t="str">
        <f>'Q_SG&amp;A'!C16</f>
        <v>Entertainment Expenses</v>
      </c>
      <c r="D16" s="476">
        <v>6.98</v>
      </c>
      <c r="E16" s="477">
        <v>9.0739999999999998</v>
      </c>
      <c r="F16" s="477">
        <v>12.974</v>
      </c>
      <c r="G16" s="316">
        <v>19.853999999999999</v>
      </c>
      <c r="H16" s="476">
        <v>8.3049999999999997</v>
      </c>
      <c r="I16" s="477">
        <v>22.417999999999999</v>
      </c>
      <c r="J16" s="477">
        <v>33.747</v>
      </c>
      <c r="K16" s="316">
        <v>108.90300000000001</v>
      </c>
      <c r="L16" s="476">
        <v>6.5110000000000001</v>
      </c>
      <c r="M16" s="477">
        <v>13.577</v>
      </c>
      <c r="N16" s="477">
        <v>28.135999999999999</v>
      </c>
      <c r="O16" s="316">
        <v>52.593999999999994</v>
      </c>
      <c r="P16" s="476">
        <v>4.38</v>
      </c>
      <c r="Q16" s="477">
        <v>16.231999999999999</v>
      </c>
      <c r="R16" s="477">
        <v>26.354999999999997</v>
      </c>
      <c r="S16" s="316">
        <v>37.125</v>
      </c>
      <c r="T16" s="476">
        <f>'Q_SG&amp;A'!AR16</f>
        <v>0.79100000000000004</v>
      </c>
      <c r="U16" s="477">
        <f>T16+'Q_SG&amp;A'!AU16</f>
        <v>15.824637000000001</v>
      </c>
      <c r="V16" s="477">
        <f>U16+'Q_SG&amp;A'!AX16</f>
        <v>28.413127000000003</v>
      </c>
      <c r="W16" s="316">
        <f>V16+'Q_SG&amp;A'!BA16</f>
        <v>58.869182000000002</v>
      </c>
      <c r="X16" s="476">
        <f>'Q_SG&amp;A'!BD16</f>
        <v>57.180141000000006</v>
      </c>
      <c r="Y16" s="477">
        <f>X16+'Q_SG&amp;A'!BG16</f>
        <v>93.565931000000006</v>
      </c>
      <c r="Z16" s="477">
        <f>Y16+'Q_SG&amp;A'!BJ16</f>
        <v>133.63045400000001</v>
      </c>
      <c r="AA16" s="316">
        <f>Z16+'Q_SG&amp;A'!BM16</f>
        <v>180.05645400000003</v>
      </c>
      <c r="AB16" s="476">
        <f>'Q_SG&amp;A'!BP16</f>
        <v>49.115000000000002</v>
      </c>
      <c r="AC16" s="477">
        <f>AB16+'Q_SG&amp;A'!BS16</f>
        <v>110.977</v>
      </c>
      <c r="AD16" s="477">
        <f>AC16+'Q_SG&amp;A'!BV16</f>
        <v>157.43900000000002</v>
      </c>
      <c r="AE16" s="316">
        <f>AD16+'Q_SG&amp;A'!BY16</f>
        <v>236.85900000000004</v>
      </c>
      <c r="AF16" s="476">
        <f>'Q_SG&amp;A'!CB16</f>
        <v>86</v>
      </c>
      <c r="AG16" s="1049"/>
      <c r="AH16" s="1050"/>
      <c r="AI16" s="1051"/>
      <c r="AJ16" s="1052"/>
      <c r="AK16" s="1050"/>
      <c r="AL16" s="1050"/>
      <c r="AM16" s="1051"/>
    </row>
    <row r="17" spans="1:39" ht="16.2" customHeight="1" outlineLevel="1">
      <c r="B17" s="102" t="str">
        <f>'Q_SG&amp;A'!B17</f>
        <v>통신비</v>
      </c>
      <c r="C17" s="103" t="str">
        <f>'Q_SG&amp;A'!C17</f>
        <v>Communication Expenses</v>
      </c>
      <c r="D17" s="476">
        <v>7.8369999999999997</v>
      </c>
      <c r="E17" s="477">
        <v>15.872999999999999</v>
      </c>
      <c r="F17" s="477">
        <v>23.895</v>
      </c>
      <c r="G17" s="316">
        <v>29.384</v>
      </c>
      <c r="H17" s="476">
        <v>8.2189999999999994</v>
      </c>
      <c r="I17" s="477">
        <v>17.349</v>
      </c>
      <c r="J17" s="477">
        <v>25.823</v>
      </c>
      <c r="K17" s="316">
        <v>34.828000000000003</v>
      </c>
      <c r="L17" s="476">
        <v>9.0370000000000008</v>
      </c>
      <c r="M17" s="477">
        <v>17.600000000000001</v>
      </c>
      <c r="N17" s="477">
        <v>25.672000000000001</v>
      </c>
      <c r="O17" s="316">
        <v>33.83</v>
      </c>
      <c r="P17" s="476">
        <v>8.8840000000000003</v>
      </c>
      <c r="Q17" s="477">
        <v>17.362000000000002</v>
      </c>
      <c r="R17" s="477">
        <v>35.844000000000001</v>
      </c>
      <c r="S17" s="316">
        <v>35.844000000000001</v>
      </c>
      <c r="T17" s="476">
        <f>'Q_SG&amp;A'!AR17</f>
        <v>8.4570000000000007</v>
      </c>
      <c r="U17" s="477">
        <f>T17+'Q_SG&amp;A'!AU17</f>
        <v>15.634509000000001</v>
      </c>
      <c r="V17" s="477">
        <f>U17+'Q_SG&amp;A'!AX17</f>
        <v>24.454280000000004</v>
      </c>
      <c r="W17" s="316">
        <f>V17+'Q_SG&amp;A'!BA17</f>
        <v>36.580215000000003</v>
      </c>
      <c r="X17" s="476">
        <f>'Q_SG&amp;A'!BD17</f>
        <v>14.199509000000001</v>
      </c>
      <c r="Y17" s="477">
        <f>X17+'Q_SG&amp;A'!BG17</f>
        <v>25.901310000000002</v>
      </c>
      <c r="Z17" s="477">
        <f>Y17+'Q_SG&amp;A'!BJ17</f>
        <v>35.874517000000004</v>
      </c>
      <c r="AA17" s="316">
        <f>Z17+'Q_SG&amp;A'!BM17</f>
        <v>55.615517000000004</v>
      </c>
      <c r="AB17" s="476">
        <f>'Q_SG&amp;A'!BP17</f>
        <v>12.244</v>
      </c>
      <c r="AC17" s="477">
        <f>AB17+'Q_SG&amp;A'!BS17</f>
        <v>25.564999999999998</v>
      </c>
      <c r="AD17" s="477">
        <f>AC17+'Q_SG&amp;A'!BV17</f>
        <v>38.323999999999998</v>
      </c>
      <c r="AE17" s="316">
        <f>AD17+'Q_SG&amp;A'!BY17</f>
        <v>58.691999999999993</v>
      </c>
      <c r="AF17" s="476">
        <f>'Q_SG&amp;A'!CB17</f>
        <v>16</v>
      </c>
      <c r="AG17" s="1049"/>
      <c r="AH17" s="1050"/>
      <c r="AI17" s="1051"/>
      <c r="AJ17" s="1052"/>
      <c r="AK17" s="1050"/>
      <c r="AL17" s="1050"/>
      <c r="AM17" s="1051"/>
    </row>
    <row r="18" spans="1:39" ht="16.2" customHeight="1" outlineLevel="1">
      <c r="B18" s="102" t="str">
        <f>'Q_SG&amp;A'!B18</f>
        <v>수도광열비</v>
      </c>
      <c r="C18" s="103" t="str">
        <f>'Q_SG&amp;A'!C18</f>
        <v xml:space="preserve">Utilities </v>
      </c>
      <c r="D18" s="476">
        <v>24.66</v>
      </c>
      <c r="E18" s="477">
        <v>39.971000000000004</v>
      </c>
      <c r="F18" s="477">
        <v>60.966000000000008</v>
      </c>
      <c r="G18" s="316">
        <v>79.476000000000013</v>
      </c>
      <c r="H18" s="476">
        <v>21.155999999999999</v>
      </c>
      <c r="I18" s="477">
        <v>33.366</v>
      </c>
      <c r="J18" s="477">
        <v>49.972999999999999</v>
      </c>
      <c r="K18" s="316">
        <v>64.051000000000002</v>
      </c>
      <c r="L18" s="476">
        <v>18.751000000000001</v>
      </c>
      <c r="M18" s="477">
        <v>29.458000000000002</v>
      </c>
      <c r="N18" s="477">
        <v>43.448999999999998</v>
      </c>
      <c r="O18" s="316">
        <v>58.137999999999998</v>
      </c>
      <c r="P18" s="476">
        <v>27.149000000000001</v>
      </c>
      <c r="Q18" s="477">
        <v>42.904000000000003</v>
      </c>
      <c r="R18" s="477">
        <v>63.942000000000007</v>
      </c>
      <c r="S18" s="316">
        <v>82.864000000000004</v>
      </c>
      <c r="T18" s="476">
        <f>'Q_SG&amp;A'!AR18</f>
        <v>35.082999999999998</v>
      </c>
      <c r="U18" s="477">
        <f>T18+'Q_SG&amp;A'!AU18</f>
        <v>68.677800000000005</v>
      </c>
      <c r="V18" s="477">
        <f>U18+'Q_SG&amp;A'!AX18</f>
        <v>112.92162200000001</v>
      </c>
      <c r="W18" s="316">
        <f>V18+'Q_SG&amp;A'!BA18</f>
        <v>134.354623</v>
      </c>
      <c r="X18" s="476">
        <f>'Q_SG&amp;A'!BD18</f>
        <v>50.389559999999996</v>
      </c>
      <c r="Y18" s="477">
        <f>X18+'Q_SG&amp;A'!BG18</f>
        <v>75.519048999999995</v>
      </c>
      <c r="Z18" s="477">
        <f>Y18+'Q_SG&amp;A'!BJ18</f>
        <v>117.216128</v>
      </c>
      <c r="AA18" s="316">
        <f>Z18+'Q_SG&amp;A'!BM18</f>
        <v>150.20812799999999</v>
      </c>
      <c r="AB18" s="476">
        <f>'Q_SG&amp;A'!BP18</f>
        <v>56.122</v>
      </c>
      <c r="AC18" s="477">
        <f>AB18+'Q_SG&amp;A'!BS18</f>
        <v>87.286000000000001</v>
      </c>
      <c r="AD18" s="477">
        <f>AC18+'Q_SG&amp;A'!BV18</f>
        <v>142.11599999999999</v>
      </c>
      <c r="AE18" s="316">
        <f>AD18+'Q_SG&amp;A'!BY18</f>
        <v>182.36199999999999</v>
      </c>
      <c r="AF18" s="476">
        <f>'Q_SG&amp;A'!CB18</f>
        <v>70</v>
      </c>
      <c r="AG18" s="1049"/>
      <c r="AH18" s="1050"/>
      <c r="AI18" s="1051"/>
      <c r="AJ18" s="1052"/>
      <c r="AK18" s="1050"/>
      <c r="AL18" s="1050"/>
      <c r="AM18" s="1051"/>
    </row>
    <row r="19" spans="1:39" ht="16.2" customHeight="1" outlineLevel="1">
      <c r="B19" s="102" t="str">
        <f>'Q_SG&amp;A'!B19</f>
        <v>세금과공과금</v>
      </c>
      <c r="C19" s="103" t="str">
        <f>'Q_SG&amp;A'!C19</f>
        <v>Taxes and Dues</v>
      </c>
      <c r="D19" s="476">
        <v>75.903999999999996</v>
      </c>
      <c r="E19" s="477">
        <v>86.215999999999994</v>
      </c>
      <c r="F19" s="477">
        <v>169.22899999999998</v>
      </c>
      <c r="G19" s="316">
        <v>187.95299999999997</v>
      </c>
      <c r="H19" s="476">
        <v>46.326000000000001</v>
      </c>
      <c r="I19" s="477">
        <v>58.676000000000002</v>
      </c>
      <c r="J19" s="477">
        <v>144.78100000000001</v>
      </c>
      <c r="K19" s="316">
        <v>175.70699999999999</v>
      </c>
      <c r="L19" s="476">
        <v>52.064</v>
      </c>
      <c r="M19" s="477">
        <v>66.606999999999999</v>
      </c>
      <c r="N19" s="477">
        <v>157.80099999999999</v>
      </c>
      <c r="O19" s="316">
        <v>194.363</v>
      </c>
      <c r="P19" s="476">
        <v>24.027999999999999</v>
      </c>
      <c r="Q19" s="477">
        <v>35.004999999999995</v>
      </c>
      <c r="R19" s="477">
        <v>133.596</v>
      </c>
      <c r="S19" s="316">
        <v>180.71100000000001</v>
      </c>
      <c r="T19" s="476">
        <f>'Q_SG&amp;A'!AR19</f>
        <v>56.387999999999998</v>
      </c>
      <c r="U19" s="477">
        <f>T19+'Q_SG&amp;A'!AU19</f>
        <v>70.786233999999993</v>
      </c>
      <c r="V19" s="477">
        <f>U19+'Q_SG&amp;A'!AX19</f>
        <v>244.02423399999998</v>
      </c>
      <c r="W19" s="316">
        <f>V19+'Q_SG&amp;A'!BA19</f>
        <v>375.008915</v>
      </c>
      <c r="X19" s="476">
        <f>'Q_SG&amp;A'!BD19</f>
        <v>120.27807899999999</v>
      </c>
      <c r="Y19" s="477">
        <f>X19+'Q_SG&amp;A'!BG19</f>
        <v>140.55493300000001</v>
      </c>
      <c r="Z19" s="477">
        <f>Y19+'Q_SG&amp;A'!BJ19</f>
        <v>287.46477000000004</v>
      </c>
      <c r="AA19" s="316">
        <f>Z19+'Q_SG&amp;A'!BM19</f>
        <v>418.02077000000008</v>
      </c>
      <c r="AB19" s="476">
        <f>'Q_SG&amp;A'!BP19</f>
        <v>153.55099999999999</v>
      </c>
      <c r="AC19" s="477">
        <f>AB19+'Q_SG&amp;A'!BS19</f>
        <v>173.58099999999999</v>
      </c>
      <c r="AD19" s="477">
        <f>AC19+'Q_SG&amp;A'!BV19</f>
        <v>370.11699999999996</v>
      </c>
      <c r="AE19" s="316">
        <f>AD19+'Q_SG&amp;A'!BY19</f>
        <v>535.61699999999996</v>
      </c>
      <c r="AF19" s="476">
        <f>'Q_SG&amp;A'!CB19</f>
        <v>133</v>
      </c>
      <c r="AG19" s="1049"/>
      <c r="AH19" s="1050"/>
      <c r="AI19" s="1051"/>
      <c r="AJ19" s="1052"/>
      <c r="AK19" s="1050"/>
      <c r="AL19" s="1050"/>
      <c r="AM19" s="1051"/>
    </row>
    <row r="20" spans="1:39" ht="16.2" customHeight="1" outlineLevel="1">
      <c r="B20" s="102" t="str">
        <f>'Q_SG&amp;A'!B20</f>
        <v>지급임차료</v>
      </c>
      <c r="C20" s="103" t="str">
        <f>'Q_SG&amp;A'!C20</f>
        <v>Rent Expenses</v>
      </c>
      <c r="D20" s="476">
        <v>77.096999999999994</v>
      </c>
      <c r="E20" s="477">
        <v>123.399</v>
      </c>
      <c r="F20" s="477">
        <v>161.76300000000001</v>
      </c>
      <c r="G20" s="316">
        <v>196.27600000000001</v>
      </c>
      <c r="H20" s="476">
        <v>3.7589999999999999</v>
      </c>
      <c r="I20" s="477">
        <v>9.1739999999999995</v>
      </c>
      <c r="J20" s="477">
        <v>14.222999999999999</v>
      </c>
      <c r="K20" s="316">
        <v>63.287999999999997</v>
      </c>
      <c r="L20" s="476">
        <v>5.165</v>
      </c>
      <c r="M20" s="477">
        <v>8.0419999999999998</v>
      </c>
      <c r="N20" s="477">
        <v>9.7940000000000005</v>
      </c>
      <c r="O20" s="316">
        <v>11.507000000000001</v>
      </c>
      <c r="P20" s="476">
        <v>1.29</v>
      </c>
      <c r="Q20" s="477">
        <v>2.5910000000000002</v>
      </c>
      <c r="R20" s="477">
        <v>3.9330000000000003</v>
      </c>
      <c r="S20" s="316">
        <v>5.3230000000000004</v>
      </c>
      <c r="T20" s="476">
        <f>'Q_SG&amp;A'!AR20</f>
        <v>1.4219999999999999</v>
      </c>
      <c r="U20" s="477">
        <f>T20+'Q_SG&amp;A'!AU20</f>
        <v>2.8506</v>
      </c>
      <c r="V20" s="477">
        <f>U20+'Q_SG&amp;A'!AX20</f>
        <v>4.3163999999999998</v>
      </c>
      <c r="W20" s="316">
        <f>V20+'Q_SG&amp;A'!BA20</f>
        <v>5.7470999999999997</v>
      </c>
      <c r="X20" s="476">
        <f>'Q_SG&amp;A'!BD20</f>
        <v>3.39635</v>
      </c>
      <c r="Y20" s="477">
        <f>X20+'Q_SG&amp;A'!BG20</f>
        <v>8.8019999999999996</v>
      </c>
      <c r="Z20" s="477">
        <f>Y20+'Q_SG&amp;A'!BJ20</f>
        <v>11.514441999999999</v>
      </c>
      <c r="AA20" s="316">
        <f>Z20+'Q_SG&amp;A'!BM20</f>
        <v>12.551441999999998</v>
      </c>
      <c r="AB20" s="476">
        <f>'Q_SG&amp;A'!BP20</f>
        <v>3.0880000000000001</v>
      </c>
      <c r="AC20" s="477">
        <f>AB20+'Q_SG&amp;A'!BS20</f>
        <v>6.5869999999999997</v>
      </c>
      <c r="AD20" s="477">
        <f>AC20+'Q_SG&amp;A'!BV20</f>
        <v>11.923999999999999</v>
      </c>
      <c r="AE20" s="316">
        <f>AD20+'Q_SG&amp;A'!BY20</f>
        <v>33.686999999999998</v>
      </c>
      <c r="AF20" s="476">
        <f>'Q_SG&amp;A'!CB20</f>
        <v>61</v>
      </c>
      <c r="AG20" s="1049"/>
      <c r="AH20" s="1050"/>
      <c r="AI20" s="1051"/>
      <c r="AJ20" s="1052"/>
      <c r="AK20" s="1050"/>
      <c r="AL20" s="1050"/>
      <c r="AM20" s="1051"/>
    </row>
    <row r="21" spans="1:39" ht="16.2" customHeight="1" outlineLevel="1">
      <c r="B21" s="102" t="str">
        <f>'Q_SG&amp;A'!B21</f>
        <v>수선비</v>
      </c>
      <c r="C21" s="103" t="str">
        <f>'Q_SG&amp;A'!C21</f>
        <v>Repairs and Maintenance Expenses</v>
      </c>
      <c r="D21" s="476">
        <v>0</v>
      </c>
      <c r="E21" s="477">
        <v>5.9420000000000002</v>
      </c>
      <c r="F21" s="477">
        <v>9.4969999999999999</v>
      </c>
      <c r="G21" s="316">
        <v>13.612</v>
      </c>
      <c r="H21" s="476">
        <v>2.6709999999999998</v>
      </c>
      <c r="I21" s="477">
        <v>2.702</v>
      </c>
      <c r="J21" s="477">
        <v>7.1920000000000002</v>
      </c>
      <c r="K21" s="316">
        <v>9.23</v>
      </c>
      <c r="L21" s="476">
        <v>0.155</v>
      </c>
      <c r="M21" s="477">
        <v>3.8179999999999996</v>
      </c>
      <c r="N21" s="477">
        <v>7.0449999999999999</v>
      </c>
      <c r="O21" s="316">
        <v>8.7129999999999992</v>
      </c>
      <c r="P21" s="476">
        <v>35.46</v>
      </c>
      <c r="Q21" s="477">
        <v>36.496000000000002</v>
      </c>
      <c r="R21" s="477">
        <v>37.587000000000003</v>
      </c>
      <c r="S21" s="316">
        <v>39.811000000000007</v>
      </c>
      <c r="T21" s="476">
        <f>'Q_SG&amp;A'!AR21</f>
        <v>4.8040000000000003</v>
      </c>
      <c r="U21" s="477">
        <f>T21+'Q_SG&amp;A'!AU21</f>
        <v>9.3760740000000009</v>
      </c>
      <c r="V21" s="477">
        <f>U21+'Q_SG&amp;A'!AX21</f>
        <v>9.7810740000000003</v>
      </c>
      <c r="W21" s="316">
        <f>V21+'Q_SG&amp;A'!BA21</f>
        <v>69.527923000000001</v>
      </c>
      <c r="X21" s="476">
        <f>'Q_SG&amp;A'!BD21</f>
        <v>18.807259999999999</v>
      </c>
      <c r="Y21" s="477">
        <f>X21+'Q_SG&amp;A'!BG21</f>
        <v>36.763338000000005</v>
      </c>
      <c r="Z21" s="477">
        <f>Y21+'Q_SG&amp;A'!BJ21</f>
        <v>48.208467000000006</v>
      </c>
      <c r="AA21" s="316">
        <f>Z21+'Q_SG&amp;A'!BM21</f>
        <v>52.887467000000008</v>
      </c>
      <c r="AB21" s="476">
        <f>'Q_SG&amp;A'!BP21</f>
        <v>4.37</v>
      </c>
      <c r="AC21" s="477">
        <f>AB21+'Q_SG&amp;A'!BS21</f>
        <v>7.2330000000000005</v>
      </c>
      <c r="AD21" s="477">
        <f>AC21+'Q_SG&amp;A'!BV21</f>
        <v>30.507000000000001</v>
      </c>
      <c r="AE21" s="316">
        <f>AD21+'Q_SG&amp;A'!BY21</f>
        <v>90.287999999999997</v>
      </c>
      <c r="AF21" s="476">
        <f>'Q_SG&amp;A'!CB21</f>
        <v>0</v>
      </c>
      <c r="AG21" s="1049"/>
      <c r="AH21" s="1050"/>
      <c r="AI21" s="1051"/>
      <c r="AJ21" s="1052"/>
      <c r="AK21" s="1050"/>
      <c r="AL21" s="1050"/>
      <c r="AM21" s="1051"/>
    </row>
    <row r="22" spans="1:39" ht="16.2" customHeight="1" outlineLevel="1">
      <c r="B22" s="102" t="str">
        <f>'Q_SG&amp;A'!B22</f>
        <v>보험료</v>
      </c>
      <c r="C22" s="103" t="str">
        <f>'Q_SG&amp;A'!C22</f>
        <v>Insurance Expenses</v>
      </c>
      <c r="D22" s="476">
        <v>2.9729999999999999</v>
      </c>
      <c r="E22" s="477">
        <v>16.468</v>
      </c>
      <c r="F22" s="477">
        <v>20.395</v>
      </c>
      <c r="G22" s="316">
        <v>38.451000000000001</v>
      </c>
      <c r="H22" s="476">
        <v>4.6740000000000004</v>
      </c>
      <c r="I22" s="477">
        <v>20.385999999999999</v>
      </c>
      <c r="J22" s="477">
        <v>30.856000000000002</v>
      </c>
      <c r="K22" s="316">
        <v>41.147000000000006</v>
      </c>
      <c r="L22" s="476">
        <v>15.972</v>
      </c>
      <c r="M22" s="477">
        <v>17.588000000000001</v>
      </c>
      <c r="N22" s="477">
        <v>23.913</v>
      </c>
      <c r="O22" s="316">
        <v>27.54</v>
      </c>
      <c r="P22" s="476">
        <v>4.2809999999999997</v>
      </c>
      <c r="Q22" s="477">
        <v>8.8260000000000005</v>
      </c>
      <c r="R22" s="477">
        <v>21.167000000000002</v>
      </c>
      <c r="S22" s="316">
        <v>33.751000000000005</v>
      </c>
      <c r="T22" s="476">
        <f>'Q_SG&amp;A'!AR22</f>
        <v>9.6389999999999993</v>
      </c>
      <c r="U22" s="477">
        <f>T22+'Q_SG&amp;A'!AU22</f>
        <v>26.525822999999999</v>
      </c>
      <c r="V22" s="477">
        <f>U22+'Q_SG&amp;A'!AX22</f>
        <v>46.696795999999999</v>
      </c>
      <c r="W22" s="316">
        <f>V22+'Q_SG&amp;A'!BA22</f>
        <v>90.979075999999992</v>
      </c>
      <c r="X22" s="476">
        <f>'Q_SG&amp;A'!BD22</f>
        <v>19.556207999999998</v>
      </c>
      <c r="Y22" s="477">
        <f>X22+'Q_SG&amp;A'!BG22</f>
        <v>33.128249999999994</v>
      </c>
      <c r="Z22" s="477">
        <f>Y22+'Q_SG&amp;A'!BJ22</f>
        <v>48.464623999999993</v>
      </c>
      <c r="AA22" s="316">
        <f>Z22+'Q_SG&amp;A'!BM22</f>
        <v>67.520623999999998</v>
      </c>
      <c r="AB22" s="476">
        <f>'Q_SG&amp;A'!BP22</f>
        <v>17.312000000000001</v>
      </c>
      <c r="AC22" s="477">
        <f>AB22+'Q_SG&amp;A'!BS22</f>
        <v>33.480000000000004</v>
      </c>
      <c r="AD22" s="477">
        <f>AC22+'Q_SG&amp;A'!BV22</f>
        <v>50.373000000000005</v>
      </c>
      <c r="AE22" s="316">
        <f>AD22+'Q_SG&amp;A'!BY22</f>
        <v>73.372</v>
      </c>
      <c r="AF22" s="476">
        <f>'Q_SG&amp;A'!CB22</f>
        <v>22</v>
      </c>
      <c r="AG22" s="1049"/>
      <c r="AH22" s="1050"/>
      <c r="AI22" s="1051"/>
      <c r="AJ22" s="1052"/>
      <c r="AK22" s="1050"/>
      <c r="AL22" s="1050"/>
      <c r="AM22" s="1051"/>
    </row>
    <row r="23" spans="1:39" ht="16.2" customHeight="1" outlineLevel="1">
      <c r="B23" s="102" t="str">
        <f>'Q_SG&amp;A'!B23</f>
        <v>차량유지비</v>
      </c>
      <c r="C23" s="103" t="str">
        <f>'Q_SG&amp;A'!C23</f>
        <v>Vehicle Maintenance Expenses</v>
      </c>
      <c r="D23" s="476">
        <v>11.45</v>
      </c>
      <c r="E23" s="477">
        <v>22.488999999999997</v>
      </c>
      <c r="F23" s="477">
        <v>34.711999999999996</v>
      </c>
      <c r="G23" s="316">
        <v>58.116999999999997</v>
      </c>
      <c r="H23" s="476">
        <v>23.681000000000001</v>
      </c>
      <c r="I23" s="477">
        <v>51.406999999999996</v>
      </c>
      <c r="J23" s="477">
        <v>82.962999999999994</v>
      </c>
      <c r="K23" s="316">
        <v>119.28</v>
      </c>
      <c r="L23" s="476">
        <v>32.064</v>
      </c>
      <c r="M23" s="477">
        <v>63.254000000000005</v>
      </c>
      <c r="N23" s="477">
        <v>95.789000000000001</v>
      </c>
      <c r="O23" s="316">
        <v>124.229</v>
      </c>
      <c r="P23" s="476">
        <v>34.915999999999997</v>
      </c>
      <c r="Q23" s="477">
        <v>76.924000000000007</v>
      </c>
      <c r="R23" s="477">
        <v>121.30700000000002</v>
      </c>
      <c r="S23" s="316">
        <v>162.57600000000002</v>
      </c>
      <c r="T23" s="476">
        <f>'Q_SG&amp;A'!AR23</f>
        <v>44.570999999999998</v>
      </c>
      <c r="U23" s="477">
        <f>T23+'Q_SG&amp;A'!AU23</f>
        <v>98.418982</v>
      </c>
      <c r="V23" s="477">
        <f>U23+'Q_SG&amp;A'!AX23</f>
        <v>142.870159</v>
      </c>
      <c r="W23" s="316">
        <f>V23+'Q_SG&amp;A'!BA23</f>
        <v>194.30017800000002</v>
      </c>
      <c r="X23" s="476">
        <f>'Q_SG&amp;A'!BD23</f>
        <v>44.444368000000004</v>
      </c>
      <c r="Y23" s="477">
        <f>X23+'Q_SG&amp;A'!BG23</f>
        <v>95.263418000000001</v>
      </c>
      <c r="Z23" s="477">
        <f>Y23+'Q_SG&amp;A'!BJ23</f>
        <v>149.11260099999998</v>
      </c>
      <c r="AA23" s="316">
        <f>Z23+'Q_SG&amp;A'!BM23</f>
        <v>205.48060099999998</v>
      </c>
      <c r="AB23" s="476">
        <f>'Q_SG&amp;A'!BP23</f>
        <v>55.029000000000003</v>
      </c>
      <c r="AC23" s="477">
        <f>AB23+'Q_SG&amp;A'!BS23</f>
        <v>119.173</v>
      </c>
      <c r="AD23" s="477">
        <f>AC23+'Q_SG&amp;A'!BV23</f>
        <v>177.27600000000001</v>
      </c>
      <c r="AE23" s="316">
        <f>AD23+'Q_SG&amp;A'!BY23</f>
        <v>256.11599999999999</v>
      </c>
      <c r="AF23" s="476">
        <f>'Q_SG&amp;A'!CB23</f>
        <v>81</v>
      </c>
      <c r="AG23" s="1049"/>
      <c r="AH23" s="1050"/>
      <c r="AI23" s="1051"/>
      <c r="AJ23" s="1052"/>
      <c r="AK23" s="1050"/>
      <c r="AL23" s="1050"/>
      <c r="AM23" s="1051"/>
    </row>
    <row r="24" spans="1:39" ht="16.2" customHeight="1" outlineLevel="1">
      <c r="B24" s="102" t="str">
        <f>'Q_SG&amp;A'!B24</f>
        <v>운반비</v>
      </c>
      <c r="C24" s="103" t="str">
        <f>'Q_SG&amp;A'!C24</f>
        <v>Freight and Delivery Expenses</v>
      </c>
      <c r="D24" s="476">
        <v>66.174000000000007</v>
      </c>
      <c r="E24" s="477">
        <v>185.35300000000001</v>
      </c>
      <c r="F24" s="477">
        <v>230.33100000000002</v>
      </c>
      <c r="G24" s="316">
        <v>326.06299999999999</v>
      </c>
      <c r="H24" s="476">
        <v>71.778000000000006</v>
      </c>
      <c r="I24" s="477">
        <v>168.51400000000001</v>
      </c>
      <c r="J24" s="477">
        <v>244.06400000000002</v>
      </c>
      <c r="K24" s="316">
        <v>306.47500000000002</v>
      </c>
      <c r="L24" s="476">
        <v>51.901000000000003</v>
      </c>
      <c r="M24" s="477">
        <v>110.48</v>
      </c>
      <c r="N24" s="477">
        <v>142.62100000000001</v>
      </c>
      <c r="O24" s="316">
        <v>179.45400000000001</v>
      </c>
      <c r="P24" s="476">
        <v>28.547000000000001</v>
      </c>
      <c r="Q24" s="477">
        <v>54.219000000000001</v>
      </c>
      <c r="R24" s="477">
        <v>79.021000000000001</v>
      </c>
      <c r="S24" s="316">
        <v>121.602</v>
      </c>
      <c r="T24" s="476">
        <f>'Q_SG&amp;A'!AR24</f>
        <v>73.370999999999995</v>
      </c>
      <c r="U24" s="477">
        <f>T24+'Q_SG&amp;A'!AU24</f>
        <v>164.45630299999999</v>
      </c>
      <c r="V24" s="477">
        <f>U24+'Q_SG&amp;A'!AX24</f>
        <v>244.56790799999999</v>
      </c>
      <c r="W24" s="316">
        <f>V24+'Q_SG&amp;A'!BA24</f>
        <v>398.529855</v>
      </c>
      <c r="X24" s="476">
        <f>'Q_SG&amp;A'!BD24</f>
        <v>131.20969699999998</v>
      </c>
      <c r="Y24" s="477">
        <f>X24+'Q_SG&amp;A'!BG24</f>
        <v>262.22530799999998</v>
      </c>
      <c r="Z24" s="477">
        <f>Y24+'Q_SG&amp;A'!BJ24</f>
        <v>341.27546100000001</v>
      </c>
      <c r="AA24" s="316">
        <f>Z24+'Q_SG&amp;A'!BM24</f>
        <v>407.39146099999999</v>
      </c>
      <c r="AB24" s="476">
        <f>'Q_SG&amp;A'!BP24</f>
        <v>74.62</v>
      </c>
      <c r="AC24" s="477">
        <f>AB24+'Q_SG&amp;A'!BS24</f>
        <v>151.74</v>
      </c>
      <c r="AD24" s="477">
        <f>AC24+'Q_SG&amp;A'!BV24</f>
        <v>263.25700000000001</v>
      </c>
      <c r="AE24" s="316">
        <f>AD24+'Q_SG&amp;A'!BY24</f>
        <v>407.01800000000003</v>
      </c>
      <c r="AF24" s="476">
        <f>'Q_SG&amp;A'!CB24</f>
        <v>80</v>
      </c>
      <c r="AG24" s="1049"/>
      <c r="AH24" s="1050"/>
      <c r="AI24" s="1051"/>
      <c r="AJ24" s="1052"/>
      <c r="AK24" s="1050"/>
      <c r="AL24" s="1050"/>
      <c r="AM24" s="1051"/>
    </row>
    <row r="25" spans="1:39" ht="16.2" customHeight="1" outlineLevel="1">
      <c r="B25" s="102" t="str">
        <f>'Q_SG&amp;A'!B25</f>
        <v>교육훈련비</v>
      </c>
      <c r="C25" s="103" t="str">
        <f>'Q_SG&amp;A'!C25</f>
        <v>Training and Education Expenses</v>
      </c>
      <c r="D25" s="476">
        <v>0.874</v>
      </c>
      <c r="E25" s="477">
        <v>3.7120000000000002</v>
      </c>
      <c r="F25" s="477">
        <v>7.0890000000000004</v>
      </c>
      <c r="G25" s="316">
        <v>7.4930000000000003</v>
      </c>
      <c r="H25" s="476">
        <v>2.2000000000000002</v>
      </c>
      <c r="I25" s="477">
        <v>4.008</v>
      </c>
      <c r="J25" s="477">
        <v>6.0630000000000006</v>
      </c>
      <c r="K25" s="316">
        <v>8.7900000000000009</v>
      </c>
      <c r="L25" s="476">
        <v>1.6020000000000001</v>
      </c>
      <c r="M25" s="477">
        <v>4.8719999999999999</v>
      </c>
      <c r="N25" s="477">
        <v>6.4589999999999996</v>
      </c>
      <c r="O25" s="316">
        <v>9.2029999999999994</v>
      </c>
      <c r="P25" s="476">
        <v>0.38800000000000001</v>
      </c>
      <c r="Q25" s="477">
        <v>2.1</v>
      </c>
      <c r="R25" s="477">
        <v>2.39</v>
      </c>
      <c r="S25" s="316">
        <v>4.43</v>
      </c>
      <c r="T25" s="476">
        <f>'Q_SG&amp;A'!AR25</f>
        <v>0.94499999999999995</v>
      </c>
      <c r="U25" s="477">
        <f>T25+'Q_SG&amp;A'!AU25</f>
        <v>3.1879949999999999</v>
      </c>
      <c r="V25" s="477">
        <f>U25+'Q_SG&amp;A'!AX25</f>
        <v>4.1569950000000002</v>
      </c>
      <c r="W25" s="316">
        <f>V25+'Q_SG&amp;A'!BA25</f>
        <v>4.674995</v>
      </c>
      <c r="X25" s="476">
        <f>'Q_SG&amp;A'!BD25</f>
        <v>1.4710000000000001</v>
      </c>
      <c r="Y25" s="477">
        <f>X25+'Q_SG&amp;A'!BG25</f>
        <v>6.1210000000000004</v>
      </c>
      <c r="Z25" s="477">
        <f>Y25+'Q_SG&amp;A'!BJ25</f>
        <v>12.245335000000001</v>
      </c>
      <c r="AA25" s="316">
        <f>Z25+'Q_SG&amp;A'!BM25</f>
        <v>15.806335000000001</v>
      </c>
      <c r="AB25" s="476">
        <f>'Q_SG&amp;A'!BP25</f>
        <v>7.9550000000000001</v>
      </c>
      <c r="AC25" s="477">
        <f>AB25+'Q_SG&amp;A'!BS25</f>
        <v>32.075000000000003</v>
      </c>
      <c r="AD25" s="477">
        <f>AC25+'Q_SG&amp;A'!BV25</f>
        <v>33.516000000000005</v>
      </c>
      <c r="AE25" s="316">
        <f>AD25+'Q_SG&amp;A'!BY25</f>
        <v>41.976000000000006</v>
      </c>
      <c r="AF25" s="476">
        <f>'Q_SG&amp;A'!CB25</f>
        <v>6</v>
      </c>
      <c r="AG25" s="1049"/>
      <c r="AH25" s="1050"/>
      <c r="AI25" s="1051"/>
      <c r="AJ25" s="1052"/>
      <c r="AK25" s="1050"/>
      <c r="AL25" s="1050"/>
      <c r="AM25" s="1051"/>
    </row>
    <row r="26" spans="1:39" ht="16.2" customHeight="1" outlineLevel="1">
      <c r="B26" s="102" t="str">
        <f>'Q_SG&amp;A'!B26</f>
        <v>도서인쇄비</v>
      </c>
      <c r="C26" s="103" t="str">
        <f>'Q_SG&amp;A'!C26</f>
        <v>Periodicals and Printing Expenses</v>
      </c>
      <c r="D26" s="476">
        <v>29.02</v>
      </c>
      <c r="E26" s="477">
        <v>67.477999999999994</v>
      </c>
      <c r="F26" s="477">
        <v>99.626000000000005</v>
      </c>
      <c r="G26" s="316">
        <v>153.51600000000002</v>
      </c>
      <c r="H26" s="476">
        <v>48.000999999999998</v>
      </c>
      <c r="I26" s="477">
        <v>100.404</v>
      </c>
      <c r="J26" s="477">
        <v>141.358</v>
      </c>
      <c r="K26" s="316">
        <v>199.42500000000001</v>
      </c>
      <c r="L26" s="476">
        <v>57.42</v>
      </c>
      <c r="M26" s="477">
        <v>118.13900000000001</v>
      </c>
      <c r="N26" s="477">
        <v>147.40100000000001</v>
      </c>
      <c r="O26" s="316">
        <v>190.55799999999999</v>
      </c>
      <c r="P26" s="476">
        <v>102.057</v>
      </c>
      <c r="Q26" s="477">
        <v>118.55200000000001</v>
      </c>
      <c r="R26" s="477">
        <v>129.14400000000001</v>
      </c>
      <c r="S26" s="316">
        <v>263.76</v>
      </c>
      <c r="T26" s="476">
        <f>'Q_SG&amp;A'!AR26</f>
        <v>129.94999999999999</v>
      </c>
      <c r="U26" s="477">
        <f>T26+'Q_SG&amp;A'!AU26</f>
        <v>155.47451999999998</v>
      </c>
      <c r="V26" s="477">
        <f>U26+'Q_SG&amp;A'!AX26</f>
        <v>204.75540899999999</v>
      </c>
      <c r="W26" s="316">
        <f>V26+'Q_SG&amp;A'!BA26</f>
        <v>270.25355500000001</v>
      </c>
      <c r="X26" s="476">
        <f>'Q_SG&amp;A'!BD26</f>
        <v>64.948830000000001</v>
      </c>
      <c r="Y26" s="477">
        <f>X26+'Q_SG&amp;A'!BG26</f>
        <v>123.71060900000001</v>
      </c>
      <c r="Z26" s="477">
        <f>Y26+'Q_SG&amp;A'!BJ26</f>
        <v>142.96912700000001</v>
      </c>
      <c r="AA26" s="316">
        <f>Z26+'Q_SG&amp;A'!BM26</f>
        <v>229.60412700000001</v>
      </c>
      <c r="AB26" s="476">
        <f>'Q_SG&amp;A'!BP26</f>
        <v>96.108000000000004</v>
      </c>
      <c r="AC26" s="477">
        <f>AB26+'Q_SG&amp;A'!BS26</f>
        <v>146.88499999999999</v>
      </c>
      <c r="AD26" s="477">
        <f>AC26+'Q_SG&amp;A'!BV26</f>
        <v>291.21199999999999</v>
      </c>
      <c r="AE26" s="316">
        <f>AD26+'Q_SG&amp;A'!BY26</f>
        <v>432.92899999999997</v>
      </c>
      <c r="AF26" s="476">
        <f>'Q_SG&amp;A'!CB26</f>
        <v>38</v>
      </c>
      <c r="AG26" s="1049"/>
      <c r="AH26" s="1050"/>
      <c r="AI26" s="1051"/>
      <c r="AJ26" s="1052"/>
      <c r="AK26" s="1050"/>
      <c r="AL26" s="1050"/>
      <c r="AM26" s="1051"/>
    </row>
    <row r="27" spans="1:39" ht="16.2" customHeight="1" outlineLevel="1">
      <c r="A27" s="143"/>
      <c r="B27" s="102" t="str">
        <f>'Q_SG&amp;A'!B27</f>
        <v>사무용품비</v>
      </c>
      <c r="C27" s="103" t="str">
        <f>'Q_SG&amp;A'!C27</f>
        <v>Office Supplies Expense</v>
      </c>
      <c r="D27" s="476">
        <v>8.7149999999999999</v>
      </c>
      <c r="E27" s="477">
        <v>17.224</v>
      </c>
      <c r="F27" s="477">
        <v>26.494</v>
      </c>
      <c r="G27" s="316">
        <v>38.475000000000001</v>
      </c>
      <c r="H27" s="476">
        <v>13.058999999999999</v>
      </c>
      <c r="I27" s="477">
        <v>25.722999999999999</v>
      </c>
      <c r="J27" s="477">
        <v>37.578000000000003</v>
      </c>
      <c r="K27" s="316">
        <v>48.650000000000006</v>
      </c>
      <c r="L27" s="476">
        <v>7.4219999999999997</v>
      </c>
      <c r="M27" s="477">
        <v>12.696999999999999</v>
      </c>
      <c r="N27" s="477">
        <v>18.332000000000001</v>
      </c>
      <c r="O27" s="316">
        <v>26.234000000000002</v>
      </c>
      <c r="P27" s="476">
        <v>2.8879999999999999</v>
      </c>
      <c r="Q27" s="477">
        <v>6.2029999999999994</v>
      </c>
      <c r="R27" s="477">
        <v>8.9349999999999987</v>
      </c>
      <c r="S27" s="316">
        <v>13.427</v>
      </c>
      <c r="T27" s="476">
        <f>'Q_SG&amp;A'!AR27</f>
        <v>4.5759999999999996</v>
      </c>
      <c r="U27" s="477">
        <f>T27+'Q_SG&amp;A'!AU27</f>
        <v>7.9400899999999996</v>
      </c>
      <c r="V27" s="477">
        <f>U27+'Q_SG&amp;A'!AX27</f>
        <v>12.271656</v>
      </c>
      <c r="W27" s="316">
        <f>V27+'Q_SG&amp;A'!BA27</f>
        <v>22.552302000000001</v>
      </c>
      <c r="X27" s="476">
        <f>'Q_SG&amp;A'!BD27</f>
        <v>5.4849489999999994</v>
      </c>
      <c r="Y27" s="477">
        <f>X27+'Q_SG&amp;A'!BG27</f>
        <v>8.9383289999999995</v>
      </c>
      <c r="Z27" s="477">
        <f>Y27+'Q_SG&amp;A'!BJ27</f>
        <v>15.462865000000001</v>
      </c>
      <c r="AA27" s="316">
        <f>Z27+'Q_SG&amp;A'!BM27</f>
        <v>19.398865000000001</v>
      </c>
      <c r="AB27" s="476">
        <f>'Q_SG&amp;A'!BP27</f>
        <v>5.0010000000000003</v>
      </c>
      <c r="AC27" s="477">
        <f>AB27+'Q_SG&amp;A'!BS27</f>
        <v>9.6280000000000001</v>
      </c>
      <c r="AD27" s="477">
        <f>AC27+'Q_SG&amp;A'!BV27</f>
        <v>13.7</v>
      </c>
      <c r="AE27" s="316">
        <f>AD27+'Q_SG&amp;A'!BY27</f>
        <v>18.641999999999999</v>
      </c>
      <c r="AF27" s="476">
        <f>'Q_SG&amp;A'!CB27</f>
        <v>5</v>
      </c>
      <c r="AG27" s="1049"/>
      <c r="AH27" s="1050"/>
      <c r="AI27" s="1051"/>
      <c r="AJ27" s="1052"/>
      <c r="AK27" s="1050"/>
      <c r="AL27" s="1050"/>
      <c r="AM27" s="1051"/>
    </row>
    <row r="28" spans="1:39" ht="16.2" customHeight="1" outlineLevel="1">
      <c r="A28" s="142"/>
      <c r="B28" s="102" t="str">
        <f>'Q_SG&amp;A'!B28</f>
        <v>소모품비</v>
      </c>
      <c r="C28" s="103" t="str">
        <f>'Q_SG&amp;A'!C28</f>
        <v>Supplies Expenses</v>
      </c>
      <c r="D28" s="476">
        <v>73.09</v>
      </c>
      <c r="E28" s="477">
        <v>135.79000000000002</v>
      </c>
      <c r="F28" s="477">
        <v>190.92900000000003</v>
      </c>
      <c r="G28" s="316">
        <v>253.26100000000002</v>
      </c>
      <c r="H28" s="476">
        <v>123.158</v>
      </c>
      <c r="I28" s="477">
        <v>192.315</v>
      </c>
      <c r="J28" s="477">
        <v>235.828</v>
      </c>
      <c r="K28" s="316">
        <v>252.99799999999999</v>
      </c>
      <c r="L28" s="476">
        <v>66.292000000000002</v>
      </c>
      <c r="M28" s="477">
        <v>83.02000000000001</v>
      </c>
      <c r="N28" s="477">
        <v>104.34500000000001</v>
      </c>
      <c r="O28" s="316">
        <v>130.80500000000001</v>
      </c>
      <c r="P28" s="476">
        <v>30.109000000000002</v>
      </c>
      <c r="Q28" s="477">
        <v>50.147000000000006</v>
      </c>
      <c r="R28" s="477">
        <v>84.02600000000001</v>
      </c>
      <c r="S28" s="316">
        <v>160.89800000000002</v>
      </c>
      <c r="T28" s="476">
        <f>'Q_SG&amp;A'!AR28</f>
        <v>44.045000000000002</v>
      </c>
      <c r="U28" s="477">
        <f>T28+'Q_SG&amp;A'!AU28</f>
        <v>81.81363300000001</v>
      </c>
      <c r="V28" s="477">
        <f>U28+'Q_SG&amp;A'!AX28</f>
        <v>119.34963300000001</v>
      </c>
      <c r="W28" s="316">
        <f>V28+'Q_SG&amp;A'!BA28</f>
        <v>144.54231900000002</v>
      </c>
      <c r="X28" s="476">
        <f>'Q_SG&amp;A'!BD28</f>
        <v>15.141788</v>
      </c>
      <c r="Y28" s="477">
        <f>X28+'Q_SG&amp;A'!BG28</f>
        <v>81.756460000000018</v>
      </c>
      <c r="Z28" s="477">
        <f>Y28+'Q_SG&amp;A'!BJ28</f>
        <v>108.65973100000002</v>
      </c>
      <c r="AA28" s="316">
        <f>Z28+'Q_SG&amp;A'!BM28</f>
        <v>137.94473100000002</v>
      </c>
      <c r="AB28" s="476">
        <f>'Q_SG&amp;A'!BP28</f>
        <v>58.143999999999998</v>
      </c>
      <c r="AC28" s="477">
        <f>AB28+'Q_SG&amp;A'!BS28</f>
        <v>105.81100000000001</v>
      </c>
      <c r="AD28" s="477">
        <f>AC28+'Q_SG&amp;A'!BV28</f>
        <v>160.245</v>
      </c>
      <c r="AE28" s="316">
        <f>AD28+'Q_SG&amp;A'!BY28</f>
        <v>195.06299999999999</v>
      </c>
      <c r="AF28" s="476">
        <f>'Q_SG&amp;A'!CB28</f>
        <v>27</v>
      </c>
      <c r="AG28" s="1049"/>
      <c r="AH28" s="1050"/>
      <c r="AI28" s="1051"/>
      <c r="AJ28" s="1052"/>
      <c r="AK28" s="1050"/>
      <c r="AL28" s="1050"/>
      <c r="AM28" s="1051"/>
    </row>
    <row r="29" spans="1:39" ht="16.2" customHeight="1" outlineLevel="1">
      <c r="B29" s="102" t="str">
        <f>'Q_SG&amp;A'!B29</f>
        <v>판매촉진비</v>
      </c>
      <c r="C29" s="103" t="str">
        <f>'Q_SG&amp;A'!C29</f>
        <v>Sales Promotion Expenses</v>
      </c>
      <c r="D29" s="476">
        <v>2.0779999999999998</v>
      </c>
      <c r="E29" s="477">
        <v>3.4630000000000001</v>
      </c>
      <c r="F29" s="477">
        <v>3.714</v>
      </c>
      <c r="G29" s="316">
        <v>12.876000000000001</v>
      </c>
      <c r="H29" s="476">
        <v>10.188000000000001</v>
      </c>
      <c r="I29" s="477">
        <v>15.716000000000001</v>
      </c>
      <c r="J29" s="477">
        <v>34.539000000000001</v>
      </c>
      <c r="K29" s="316">
        <v>47.385000000000005</v>
      </c>
      <c r="L29" s="476">
        <v>1.9530000000000001</v>
      </c>
      <c r="M29" s="477">
        <v>4.875</v>
      </c>
      <c r="N29" s="477">
        <v>38.720999999999997</v>
      </c>
      <c r="O29" s="316">
        <v>45.275999999999996</v>
      </c>
      <c r="P29" s="476">
        <v>38.247</v>
      </c>
      <c r="Q29" s="477">
        <v>147.78300000000002</v>
      </c>
      <c r="R29" s="477">
        <v>163.35100000000003</v>
      </c>
      <c r="S29" s="316">
        <v>168.73000000000002</v>
      </c>
      <c r="T29" s="476">
        <f>'Q_SG&amp;A'!AR29</f>
        <v>31.414000000000001</v>
      </c>
      <c r="U29" s="477">
        <f>T29+'Q_SG&amp;A'!AU29</f>
        <v>45.482714999999999</v>
      </c>
      <c r="V29" s="477">
        <f>U29+'Q_SG&amp;A'!AX29</f>
        <v>57.477671000000001</v>
      </c>
      <c r="W29" s="316">
        <f>V29+'Q_SG&amp;A'!BA29</f>
        <v>173.92851100000001</v>
      </c>
      <c r="X29" s="476">
        <f>'Q_SG&amp;A'!BD29</f>
        <v>4.9169999999999998</v>
      </c>
      <c r="Y29" s="477">
        <f>X29+'Q_SG&amp;A'!BG29</f>
        <v>4.9779999999999998</v>
      </c>
      <c r="Z29" s="477">
        <f>Y29+'Q_SG&amp;A'!BJ29</f>
        <v>5.0449999999999999</v>
      </c>
      <c r="AA29" s="316">
        <f>Z29+'Q_SG&amp;A'!BM29</f>
        <v>190.666</v>
      </c>
      <c r="AB29" s="476">
        <f>'Q_SG&amp;A'!BP29</f>
        <v>0.75600000000000001</v>
      </c>
      <c r="AC29" s="477">
        <f>AB29+'Q_SG&amp;A'!BS29</f>
        <v>3.3600000000000003</v>
      </c>
      <c r="AD29" s="477">
        <f>AC29+'Q_SG&amp;A'!BV29</f>
        <v>5.5410000000000004</v>
      </c>
      <c r="AE29" s="316">
        <f>AD29+'Q_SG&amp;A'!BY29</f>
        <v>22.245999999999999</v>
      </c>
      <c r="AF29" s="476">
        <f>'Q_SG&amp;A'!CB29</f>
        <v>33</v>
      </c>
      <c r="AG29" s="1049"/>
      <c r="AH29" s="1050"/>
      <c r="AI29" s="1051"/>
      <c r="AJ29" s="1052"/>
      <c r="AK29" s="1050"/>
      <c r="AL29" s="1050"/>
      <c r="AM29" s="1051"/>
    </row>
    <row r="30" spans="1:39" ht="16.2" customHeight="1" outlineLevel="1">
      <c r="B30" s="102" t="str">
        <f>'Q_SG&amp;A'!B30</f>
        <v>수출제비용</v>
      </c>
      <c r="C30" s="103" t="str">
        <f>'Q_SG&amp;A'!C30</f>
        <v>Export Expenses</v>
      </c>
      <c r="D30" s="476">
        <v>29.452000000000002</v>
      </c>
      <c r="E30" s="477">
        <v>66.195000000000007</v>
      </c>
      <c r="F30" s="477">
        <v>116.178</v>
      </c>
      <c r="G30" s="316">
        <v>170.822</v>
      </c>
      <c r="H30" s="476">
        <v>58.978999999999999</v>
      </c>
      <c r="I30" s="477">
        <v>135.542</v>
      </c>
      <c r="J30" s="477">
        <v>191.81800000000001</v>
      </c>
      <c r="K30" s="316">
        <v>180.38500000000002</v>
      </c>
      <c r="L30" s="476">
        <v>39.454000000000001</v>
      </c>
      <c r="M30" s="477">
        <v>75.927999999999997</v>
      </c>
      <c r="N30" s="477">
        <v>111.221</v>
      </c>
      <c r="O30" s="316">
        <v>143.02199999999999</v>
      </c>
      <c r="P30" s="476">
        <v>58.715000000000003</v>
      </c>
      <c r="Q30" s="477">
        <v>188.767</v>
      </c>
      <c r="R30" s="477">
        <v>275.48399999999998</v>
      </c>
      <c r="S30" s="316">
        <v>329.28099999999995</v>
      </c>
      <c r="T30" s="476">
        <f>'Q_SG&amp;A'!AR30</f>
        <v>57.457999999999998</v>
      </c>
      <c r="U30" s="477">
        <f>T30+'Q_SG&amp;A'!AU30</f>
        <v>91.057285999999991</v>
      </c>
      <c r="V30" s="477">
        <f>U30+'Q_SG&amp;A'!AX30</f>
        <v>184.10990299999997</v>
      </c>
      <c r="W30" s="316">
        <f>V30+'Q_SG&amp;A'!BA30</f>
        <v>229.47044999999997</v>
      </c>
      <c r="X30" s="476">
        <f>'Q_SG&amp;A'!BD30</f>
        <v>52.9771</v>
      </c>
      <c r="Y30" s="477">
        <f>X30+'Q_SG&amp;A'!BG30</f>
        <v>105.253533</v>
      </c>
      <c r="Z30" s="477">
        <f>Y30+'Q_SG&amp;A'!BJ30</f>
        <v>172.74185</v>
      </c>
      <c r="AA30" s="316">
        <f>Z30+'Q_SG&amp;A'!BM30</f>
        <v>208.87184999999999</v>
      </c>
      <c r="AB30" s="476">
        <f>'Q_SG&amp;A'!BP30</f>
        <v>33.728000000000002</v>
      </c>
      <c r="AC30" s="477">
        <f>AB30+'Q_SG&amp;A'!BS30</f>
        <v>85.322000000000003</v>
      </c>
      <c r="AD30" s="477">
        <f>AC30+'Q_SG&amp;A'!BV30</f>
        <v>124.21100000000001</v>
      </c>
      <c r="AE30" s="316">
        <f>AD30+'Q_SG&amp;A'!BY30</f>
        <v>193.47400000000002</v>
      </c>
      <c r="AF30" s="476">
        <f>'Q_SG&amp;A'!CB30</f>
        <v>47</v>
      </c>
      <c r="AG30" s="1049"/>
      <c r="AH30" s="1050"/>
      <c r="AI30" s="1051"/>
      <c r="AJ30" s="1052"/>
      <c r="AK30" s="1050"/>
      <c r="AL30" s="1050"/>
      <c r="AM30" s="1051"/>
    </row>
    <row r="31" spans="1:39" s="4" customFormat="1" ht="16.2" customHeight="1" outlineLevel="1">
      <c r="A31" s="141"/>
      <c r="B31" s="102" t="str">
        <f>'Q_SG&amp;A'!B31</f>
        <v>견본비</v>
      </c>
      <c r="C31" s="103" t="str">
        <f>'Q_SG&amp;A'!C31</f>
        <v>Sample Expenses</v>
      </c>
      <c r="D31" s="476">
        <v>87.614999999999995</v>
      </c>
      <c r="E31" s="477">
        <v>116.502</v>
      </c>
      <c r="F31" s="477">
        <v>253.73599999999999</v>
      </c>
      <c r="G31" s="316">
        <v>545.87400000000002</v>
      </c>
      <c r="H31" s="476">
        <v>137.71100000000001</v>
      </c>
      <c r="I31" s="477">
        <v>366.22900000000004</v>
      </c>
      <c r="J31" s="477">
        <v>554.08699999999999</v>
      </c>
      <c r="K31" s="316">
        <v>671.84699999999998</v>
      </c>
      <c r="L31" s="476">
        <v>71.923000000000002</v>
      </c>
      <c r="M31" s="477">
        <v>45.529000000000003</v>
      </c>
      <c r="N31" s="477">
        <v>68.244</v>
      </c>
      <c r="O31" s="316">
        <v>98.924000000000007</v>
      </c>
      <c r="P31" s="476">
        <v>80.766000000000005</v>
      </c>
      <c r="Q31" s="477">
        <v>119.976</v>
      </c>
      <c r="R31" s="477">
        <v>162.053</v>
      </c>
      <c r="S31" s="316">
        <v>306.964</v>
      </c>
      <c r="T31" s="476">
        <f>'Q_SG&amp;A'!AR31</f>
        <v>133.68199999999999</v>
      </c>
      <c r="U31" s="477">
        <f>T31+'Q_SG&amp;A'!AU31</f>
        <v>243.37112999999999</v>
      </c>
      <c r="V31" s="477">
        <f>U31+'Q_SG&amp;A'!AX31</f>
        <v>349.277062</v>
      </c>
      <c r="W31" s="316">
        <f>V31+'Q_SG&amp;A'!BA31</f>
        <v>745.19846299999995</v>
      </c>
      <c r="X31" s="476">
        <f>'Q_SG&amp;A'!BD31</f>
        <v>379.64014199999997</v>
      </c>
      <c r="Y31" s="477">
        <f>X31+'Q_SG&amp;A'!BG31</f>
        <v>682.04028799999992</v>
      </c>
      <c r="Z31" s="477">
        <f>Y31+'Q_SG&amp;A'!BJ31</f>
        <v>930.05040599999984</v>
      </c>
      <c r="AA31" s="316">
        <f>Z31+'Q_SG&amp;A'!BM31</f>
        <v>1402.8284059999999</v>
      </c>
      <c r="AB31" s="476">
        <f>'Q_SG&amp;A'!BP31</f>
        <v>713.29899999999998</v>
      </c>
      <c r="AC31" s="477">
        <f>AB31+'Q_SG&amp;A'!BS31</f>
        <v>1142.288</v>
      </c>
      <c r="AD31" s="477">
        <f>AC31+'Q_SG&amp;A'!BV31</f>
        <v>1635.136</v>
      </c>
      <c r="AE31" s="316">
        <f>AD31+'Q_SG&amp;A'!BY31</f>
        <v>1970.1759999999999</v>
      </c>
      <c r="AF31" s="476">
        <f>'Q_SG&amp;A'!CB31</f>
        <v>324</v>
      </c>
      <c r="AG31" s="1049"/>
      <c r="AH31" s="1050"/>
      <c r="AI31" s="1051"/>
      <c r="AJ31" s="1052"/>
      <c r="AK31" s="1050"/>
      <c r="AL31" s="1050"/>
      <c r="AM31" s="1051"/>
    </row>
    <row r="32" spans="1:39" s="4" customFormat="1" ht="16.2" customHeight="1" outlineLevel="1">
      <c r="A32" s="141"/>
      <c r="B32" s="102" t="str">
        <f>'Q_SG&amp;A'!B32</f>
        <v>건물관리비</v>
      </c>
      <c r="C32" s="103" t="str">
        <f>'Q_SG&amp;A'!C32</f>
        <v>Building Maintenance Expenses</v>
      </c>
      <c r="D32" s="476">
        <v>0</v>
      </c>
      <c r="E32" s="477">
        <v>0</v>
      </c>
      <c r="F32" s="477">
        <v>0</v>
      </c>
      <c r="G32" s="316">
        <v>0</v>
      </c>
      <c r="H32" s="476">
        <v>0</v>
      </c>
      <c r="I32" s="477">
        <v>0</v>
      </c>
      <c r="J32" s="477">
        <v>0</v>
      </c>
      <c r="K32" s="316">
        <v>0</v>
      </c>
      <c r="L32" s="476">
        <v>0</v>
      </c>
      <c r="M32" s="477">
        <v>0</v>
      </c>
      <c r="N32" s="477">
        <v>0</v>
      </c>
      <c r="O32" s="316">
        <v>0</v>
      </c>
      <c r="P32" s="476">
        <v>0</v>
      </c>
      <c r="Q32" s="477">
        <v>0</v>
      </c>
      <c r="R32" s="477">
        <v>0</v>
      </c>
      <c r="S32" s="316">
        <v>0</v>
      </c>
      <c r="T32" s="476">
        <f>'Q_SG&amp;A'!AR32</f>
        <v>0</v>
      </c>
      <c r="U32" s="477">
        <f>T32+'Q_SG&amp;A'!AU32</f>
        <v>0</v>
      </c>
      <c r="V32" s="477">
        <f>U32+'Q_SG&amp;A'!AX32</f>
        <v>0</v>
      </c>
      <c r="W32" s="316">
        <f>V32+'Q_SG&amp;A'!BA32</f>
        <v>0</v>
      </c>
      <c r="X32" s="476">
        <f>'Q_SG&amp;A'!BD32</f>
        <v>0</v>
      </c>
      <c r="Y32" s="477">
        <f>X32+'Q_SG&amp;A'!BG32</f>
        <v>0</v>
      </c>
      <c r="Z32" s="477">
        <f>Y32+'Q_SG&amp;A'!BJ32</f>
        <v>0</v>
      </c>
      <c r="AA32" s="316">
        <f>Z32+'Q_SG&amp;A'!BM32</f>
        <v>0</v>
      </c>
      <c r="AB32" s="476">
        <f>'Q_SG&amp;A'!BP32</f>
        <v>0</v>
      </c>
      <c r="AC32" s="477">
        <f>AB32+'Q_SG&amp;A'!BS32</f>
        <v>58.679000000000002</v>
      </c>
      <c r="AD32" s="477">
        <f>AC32+'Q_SG&amp;A'!BV32</f>
        <v>150.88800000000001</v>
      </c>
      <c r="AE32" s="316">
        <f>AD32+'Q_SG&amp;A'!BY32</f>
        <v>264.399</v>
      </c>
      <c r="AF32" s="476">
        <f>'Q_SG&amp;A'!CB32</f>
        <v>89</v>
      </c>
      <c r="AG32" s="1049"/>
      <c r="AH32" s="1050"/>
      <c r="AI32" s="1051"/>
      <c r="AJ32" s="1052"/>
      <c r="AK32" s="1050"/>
      <c r="AL32" s="1050"/>
      <c r="AM32" s="1051"/>
    </row>
    <row r="33" spans="1:39" ht="16.2" customHeight="1" outlineLevel="1">
      <c r="B33" s="102" t="str">
        <f>'Q_SG&amp;A'!B33</f>
        <v>회의비</v>
      </c>
      <c r="C33" s="103" t="str">
        <f>'Q_SG&amp;A'!C33</f>
        <v>Meeting Expenses</v>
      </c>
      <c r="D33" s="476">
        <v>1.0960000000000001</v>
      </c>
      <c r="E33" s="477">
        <v>4.0570000000000004</v>
      </c>
      <c r="F33" s="477">
        <v>6.8190000000000008</v>
      </c>
      <c r="G33" s="316">
        <v>6.8190000000000008</v>
      </c>
      <c r="H33" s="476">
        <v>2.15</v>
      </c>
      <c r="I33" s="477">
        <v>2.48</v>
      </c>
      <c r="J33" s="477">
        <v>2.48</v>
      </c>
      <c r="K33" s="316">
        <v>2.58</v>
      </c>
      <c r="L33" s="476" t="s">
        <v>3</v>
      </c>
      <c r="M33" s="477">
        <v>0</v>
      </c>
      <c r="N33" s="477">
        <v>0.06</v>
      </c>
      <c r="O33" s="316">
        <v>0.06</v>
      </c>
      <c r="P33" s="476">
        <v>0</v>
      </c>
      <c r="Q33" s="477">
        <v>0</v>
      </c>
      <c r="R33" s="477">
        <v>3.5390000000000001</v>
      </c>
      <c r="S33" s="316">
        <v>14.049999999999999</v>
      </c>
      <c r="T33" s="476">
        <f>'Q_SG&amp;A'!AR33</f>
        <v>0</v>
      </c>
      <c r="U33" s="477">
        <f>T33+'Q_SG&amp;A'!AU33</f>
        <v>0</v>
      </c>
      <c r="V33" s="477">
        <f>U33+'Q_SG&amp;A'!AX33</f>
        <v>0</v>
      </c>
      <c r="W33" s="316">
        <f>V33+'Q_SG&amp;A'!BA33</f>
        <v>0</v>
      </c>
      <c r="X33" s="476">
        <f>'Q_SG&amp;A'!BD33</f>
        <v>4.2447929999999996</v>
      </c>
      <c r="Y33" s="477">
        <f>X33+'Q_SG&amp;A'!BG33</f>
        <v>11.412658</v>
      </c>
      <c r="Z33" s="477">
        <f>Y33+'Q_SG&amp;A'!BJ33</f>
        <v>21.453088000000001</v>
      </c>
      <c r="AA33" s="316">
        <f>Z33+'Q_SG&amp;A'!BM33</f>
        <v>31.538088000000002</v>
      </c>
      <c r="AB33" s="476">
        <f>'Q_SG&amp;A'!BP33</f>
        <v>16.366</v>
      </c>
      <c r="AC33" s="477">
        <f>AB33+'Q_SG&amp;A'!BS33</f>
        <v>34.942999999999998</v>
      </c>
      <c r="AD33" s="477">
        <f>AC33+'Q_SG&amp;A'!BV33</f>
        <v>48.792000000000002</v>
      </c>
      <c r="AE33" s="316">
        <f>AD33+'Q_SG&amp;A'!BY33</f>
        <v>60.911000000000001</v>
      </c>
      <c r="AF33" s="476">
        <f>'Q_SG&amp;A'!CB33</f>
        <v>0</v>
      </c>
      <c r="AG33" s="1049"/>
      <c r="AH33" s="1050"/>
      <c r="AI33" s="1051"/>
      <c r="AJ33" s="1052"/>
      <c r="AK33" s="1050"/>
      <c r="AL33" s="1050"/>
      <c r="AM33" s="1051"/>
    </row>
    <row r="34" spans="1:39" s="4" customFormat="1" ht="16.2" customHeight="1" outlineLevel="1">
      <c r="A34" s="141"/>
      <c r="B34" s="102" t="str">
        <f>'Q_SG&amp;A'!B34</f>
        <v>잡급</v>
      </c>
      <c r="C34" s="103" t="str">
        <f>'Q_SG&amp;A'!C34</f>
        <v xml:space="preserve">Miscellaneous Wages </v>
      </c>
      <c r="D34" s="476" t="s">
        <v>113</v>
      </c>
      <c r="E34" s="477" t="s">
        <v>113</v>
      </c>
      <c r="F34" s="477" t="s">
        <v>113</v>
      </c>
      <c r="G34" s="316" t="s">
        <v>113</v>
      </c>
      <c r="H34" s="476" t="s">
        <v>113</v>
      </c>
      <c r="I34" s="477">
        <v>0</v>
      </c>
      <c r="J34" s="477">
        <v>0</v>
      </c>
      <c r="K34" s="316">
        <v>0</v>
      </c>
      <c r="L34" s="476" t="s">
        <v>113</v>
      </c>
      <c r="M34" s="477">
        <v>0</v>
      </c>
      <c r="N34" s="477">
        <v>0</v>
      </c>
      <c r="O34" s="316">
        <v>0</v>
      </c>
      <c r="P34" s="476" t="s">
        <v>113</v>
      </c>
      <c r="Q34" s="477">
        <v>0</v>
      </c>
      <c r="R34" s="477">
        <v>0</v>
      </c>
      <c r="S34" s="316">
        <v>0</v>
      </c>
      <c r="T34" s="476">
        <f>'Q_SG&amp;A'!AR34</f>
        <v>2.2970000000000002</v>
      </c>
      <c r="U34" s="477">
        <f>T34+'Q_SG&amp;A'!AU34</f>
        <v>2.2970000000000002</v>
      </c>
      <c r="V34" s="477">
        <f>U34+'Q_SG&amp;A'!AX34</f>
        <v>2.2970000000000002</v>
      </c>
      <c r="W34" s="316">
        <f>V34+'Q_SG&amp;A'!BA34</f>
        <v>2.2970000000000002</v>
      </c>
      <c r="X34" s="476">
        <f>'Q_SG&amp;A'!BD34</f>
        <v>1.76</v>
      </c>
      <c r="Y34" s="477">
        <f>X34+'Q_SG&amp;A'!BG34</f>
        <v>1.76</v>
      </c>
      <c r="Z34" s="477">
        <f>Y34+'Q_SG&amp;A'!BJ34</f>
        <v>1.76</v>
      </c>
      <c r="AA34" s="316">
        <f>Z34+'Q_SG&amp;A'!BM34</f>
        <v>1.76</v>
      </c>
      <c r="AB34" s="476">
        <f>'Q_SG&amp;A'!BP34</f>
        <v>0</v>
      </c>
      <c r="AC34" s="477">
        <f>AB34+'Q_SG&amp;A'!BS34</f>
        <v>0.6</v>
      </c>
      <c r="AD34" s="477">
        <f>AC34+'Q_SG&amp;A'!BV34</f>
        <v>0.6</v>
      </c>
      <c r="AE34" s="316">
        <f>AD34+'Q_SG&amp;A'!BY34</f>
        <v>0.6</v>
      </c>
      <c r="AF34" s="476">
        <f>'Q_SG&amp;A'!CB34</f>
        <v>0</v>
      </c>
      <c r="AG34" s="1049"/>
      <c r="AH34" s="1050"/>
      <c r="AI34" s="1051"/>
      <c r="AJ34" s="1052"/>
      <c r="AK34" s="1050"/>
      <c r="AL34" s="1050"/>
      <c r="AM34" s="1051"/>
    </row>
    <row r="35" spans="1:39" ht="16.2" customHeight="1" outlineLevel="1">
      <c r="B35" s="102" t="s">
        <v>452</v>
      </c>
      <c r="C35" s="103" t="s">
        <v>451</v>
      </c>
      <c r="D35" s="476">
        <v>0</v>
      </c>
      <c r="E35" s="477">
        <v>0</v>
      </c>
      <c r="F35" s="477">
        <v>0</v>
      </c>
      <c r="G35" s="316">
        <v>44.683999999999997</v>
      </c>
      <c r="H35" s="476">
        <v>0</v>
      </c>
      <c r="I35" s="477">
        <v>113.43899999999999</v>
      </c>
      <c r="J35" s="477">
        <v>211.83199999999999</v>
      </c>
      <c r="K35" s="316">
        <v>185.83499999999998</v>
      </c>
      <c r="L35" s="476">
        <v>76.081000000000003</v>
      </c>
      <c r="M35" s="477">
        <v>236.69499999999999</v>
      </c>
      <c r="N35" s="477">
        <v>296.041</v>
      </c>
      <c r="O35" s="316">
        <v>198.52699999999999</v>
      </c>
      <c r="P35" s="476">
        <v>93.861000000000004</v>
      </c>
      <c r="Q35" s="477">
        <v>83.515000000000001</v>
      </c>
      <c r="R35" s="477">
        <v>-31.585999999999999</v>
      </c>
      <c r="S35" s="316">
        <v>-101.2</v>
      </c>
      <c r="T35" s="476">
        <f>'Q_SG&amp;A'!AR35</f>
        <v>33.86</v>
      </c>
      <c r="U35" s="477">
        <f>T35+'Q_SG&amp;A'!AU35</f>
        <v>-3.4187549999999973</v>
      </c>
      <c r="V35" s="477">
        <f>U35+'Q_SG&amp;A'!AX35</f>
        <v>56.746245000000002</v>
      </c>
      <c r="W35" s="316">
        <f>V35+'Q_SG&amp;A'!BA35</f>
        <v>19.724862000000002</v>
      </c>
      <c r="X35" s="476">
        <f>'Q_SG&amp;A'!BD35</f>
        <v>98.425214999999994</v>
      </c>
      <c r="Y35" s="477">
        <f>X35+'Q_SG&amp;A'!BG35</f>
        <v>153.571302</v>
      </c>
      <c r="Z35" s="477">
        <f>Y35+'Q_SG&amp;A'!BJ35</f>
        <v>268.475483</v>
      </c>
      <c r="AA35" s="316">
        <f>Z35+'Q_SG&amp;A'!BM35</f>
        <v>449.689483</v>
      </c>
      <c r="AB35" s="476">
        <f>'Q_SG&amp;A'!BP35</f>
        <v>-21.588000000000001</v>
      </c>
      <c r="AC35" s="477">
        <f>AB35+'Q_SG&amp;A'!BS35</f>
        <v>377.90199999999999</v>
      </c>
      <c r="AD35" s="477">
        <f>AC35+'Q_SG&amp;A'!BV35</f>
        <v>145.99099999999999</v>
      </c>
      <c r="AE35" s="316">
        <f>AD35+'Q_SG&amp;A'!BY35</f>
        <v>36.432999999999979</v>
      </c>
      <c r="AF35" s="476">
        <f>'Q_SG&amp;A'!CB35</f>
        <v>683</v>
      </c>
      <c r="AG35" s="1049"/>
      <c r="AH35" s="1050"/>
      <c r="AI35" s="1051"/>
      <c r="AJ35" s="1052"/>
      <c r="AK35" s="1050"/>
      <c r="AL35" s="1050"/>
      <c r="AM35" s="1051"/>
    </row>
    <row r="36" spans="1:39" s="4" customFormat="1" ht="16.2" customHeight="1" thickBot="1">
      <c r="A36" s="141"/>
      <c r="B36" s="644" t="str">
        <f>'Q_SG&amp;A'!B36</f>
        <v>합 계</v>
      </c>
      <c r="C36" s="645" t="str">
        <f>'Q_SG&amp;A'!C36</f>
        <v>Total</v>
      </c>
      <c r="D36" s="646">
        <f t="shared" ref="D36:AH36" si="0">SUM(D3:D11)</f>
        <v>2915.9580000000001</v>
      </c>
      <c r="E36" s="647">
        <f t="shared" si="0"/>
        <v>6310.8209999999999</v>
      </c>
      <c r="F36" s="647">
        <f t="shared" si="0"/>
        <v>9703.7529999999988</v>
      </c>
      <c r="G36" s="648">
        <f t="shared" si="0"/>
        <v>13226.923000000001</v>
      </c>
      <c r="H36" s="646">
        <f t="shared" si="0"/>
        <v>3828.41</v>
      </c>
      <c r="I36" s="647">
        <f t="shared" si="0"/>
        <v>9184.7670000000016</v>
      </c>
      <c r="J36" s="647">
        <f t="shared" si="0"/>
        <v>13284.265000000003</v>
      </c>
      <c r="K36" s="648">
        <f t="shared" si="0"/>
        <v>17698.573</v>
      </c>
      <c r="L36" s="646">
        <f t="shared" si="0"/>
        <v>3241.183</v>
      </c>
      <c r="M36" s="647">
        <f t="shared" si="0"/>
        <v>7635.652000000001</v>
      </c>
      <c r="N36" s="647">
        <f t="shared" si="0"/>
        <v>10966.718000000001</v>
      </c>
      <c r="O36" s="648">
        <f t="shared" si="0"/>
        <v>17480.809999999998</v>
      </c>
      <c r="P36" s="646">
        <f t="shared" si="0"/>
        <v>5055.1939999999995</v>
      </c>
      <c r="Q36" s="647">
        <f t="shared" si="0"/>
        <v>11092.179999999998</v>
      </c>
      <c r="R36" s="647">
        <f t="shared" si="0"/>
        <v>16237.041999999998</v>
      </c>
      <c r="S36" s="648">
        <f t="shared" si="0"/>
        <v>22782.467999999997</v>
      </c>
      <c r="T36" s="646">
        <f t="shared" si="0"/>
        <v>9876.7240000000002</v>
      </c>
      <c r="U36" s="647">
        <f t="shared" si="0"/>
        <v>19021.676189000002</v>
      </c>
      <c r="V36" s="647">
        <f t="shared" si="0"/>
        <v>27493.604775999996</v>
      </c>
      <c r="W36" s="648">
        <f t="shared" si="0"/>
        <v>39290.816356000003</v>
      </c>
      <c r="X36" s="646">
        <f t="shared" si="0"/>
        <v>10318.627559</v>
      </c>
      <c r="Y36" s="647">
        <f t="shared" si="0"/>
        <v>23493.001112000005</v>
      </c>
      <c r="Z36" s="647">
        <f t="shared" si="0"/>
        <v>35841.212921999999</v>
      </c>
      <c r="AA36" s="648">
        <f t="shared" si="0"/>
        <v>50826.681922000003</v>
      </c>
      <c r="AB36" s="646">
        <f t="shared" si="0"/>
        <v>13694.298999999997</v>
      </c>
      <c r="AC36" s="647">
        <f t="shared" si="0"/>
        <v>30019.816999999995</v>
      </c>
      <c r="AD36" s="647">
        <f t="shared" si="0"/>
        <v>47668.046999999991</v>
      </c>
      <c r="AE36" s="648">
        <f t="shared" si="0"/>
        <v>68684.934000000008</v>
      </c>
      <c r="AF36" s="672">
        <f t="shared" si="0"/>
        <v>22545</v>
      </c>
      <c r="AG36" s="673">
        <f t="shared" si="0"/>
        <v>43552</v>
      </c>
      <c r="AH36" s="673">
        <f t="shared" si="0"/>
        <v>69658.023000000016</v>
      </c>
      <c r="AI36" s="674">
        <f>AH36+'Q_SG&amp;A'!CK36</f>
        <v>90490.967406000011</v>
      </c>
      <c r="AJ36" s="672">
        <f t="shared" ref="AJ36:AL36" si="1">SUM(AJ3:AJ11)</f>
        <v>27849.183000000001</v>
      </c>
      <c r="AK36" s="673">
        <f t="shared" si="1"/>
        <v>60426.015999999996</v>
      </c>
      <c r="AL36" s="673">
        <f t="shared" si="1"/>
        <v>60426.015999999996</v>
      </c>
      <c r="AM36" s="674">
        <f>AL36+'Q_SG&amp;A'!CO36</f>
        <v>60426.352785739793</v>
      </c>
    </row>
    <row r="37" spans="1:39" s="5" customFormat="1" ht="16.2" customHeight="1">
      <c r="A37" s="141"/>
      <c r="B37" s="94" t="s">
        <v>516</v>
      </c>
      <c r="C37" s="94"/>
      <c r="D37" s="297"/>
      <c r="E37" s="297"/>
      <c r="F37" s="297"/>
      <c r="G37" s="297"/>
      <c r="H37" s="297"/>
      <c r="I37" s="297"/>
      <c r="J37" s="297"/>
      <c r="K37" s="297"/>
      <c r="L37" s="297"/>
      <c r="M37" s="297"/>
      <c r="N37" s="297"/>
      <c r="O37" s="297"/>
      <c r="P37" s="297"/>
      <c r="Q37" s="297"/>
      <c r="R37" s="297"/>
      <c r="S37" s="297"/>
      <c r="T37" s="297"/>
      <c r="U37" s="297"/>
      <c r="V37" s="297"/>
      <c r="W37" s="297"/>
      <c r="X37" s="297"/>
      <c r="Y37" s="297"/>
      <c r="Z37" s="297"/>
      <c r="AA37" s="297"/>
      <c r="AB37" s="297"/>
      <c r="AC37" s="297"/>
      <c r="AD37" s="297"/>
      <c r="AE37" s="297"/>
      <c r="AF37" s="297"/>
      <c r="AG37" s="297"/>
      <c r="AH37" s="297"/>
      <c r="AI37" s="297"/>
      <c r="AJ37" s="297"/>
      <c r="AK37" s="297"/>
      <c r="AL37" s="297"/>
      <c r="AM37" s="297"/>
    </row>
    <row r="38" spans="1:39" ht="16.2" customHeight="1">
      <c r="B38" s="94" t="s">
        <v>517</v>
      </c>
      <c r="C38" s="94"/>
    </row>
    <row r="39" spans="1:39" ht="16.2" customHeight="1">
      <c r="B39" s="94"/>
      <c r="C39" s="94"/>
    </row>
    <row r="40" spans="1:39" ht="16.2" customHeight="1">
      <c r="B40" s="94"/>
      <c r="C40" s="94"/>
    </row>
    <row r="41" spans="1:39" ht="16.2" customHeight="1">
      <c r="B41" s="94"/>
      <c r="C41" s="94"/>
    </row>
    <row r="42" spans="1:39" ht="16.2" customHeight="1">
      <c r="B42" s="94"/>
      <c r="C42" s="94"/>
    </row>
    <row r="43" spans="1:39" ht="16.2" customHeight="1">
      <c r="B43" s="94"/>
      <c r="C43" s="94"/>
    </row>
    <row r="44" spans="1:39" ht="16.2" customHeight="1">
      <c r="B44" s="94"/>
      <c r="C44" s="94"/>
    </row>
    <row r="45" spans="1:39" ht="16.2" customHeight="1">
      <c r="A45" s="142"/>
      <c r="B45" s="94"/>
      <c r="C45" s="94"/>
    </row>
    <row r="46" spans="1:39" ht="16.2" customHeight="1">
      <c r="A46" s="144"/>
      <c r="B46" s="94"/>
      <c r="C46" s="94"/>
    </row>
    <row r="47" spans="1:39" ht="16.2" customHeight="1">
      <c r="A47" s="142"/>
      <c r="B47" s="94"/>
      <c r="C47" s="94"/>
    </row>
    <row r="48" spans="1:39" ht="16.2" customHeight="1">
      <c r="A48" s="145"/>
      <c r="B48" s="94"/>
      <c r="C48" s="94"/>
    </row>
    <row r="49" spans="1:3" ht="16.2" customHeight="1">
      <c r="A49" s="145"/>
      <c r="B49" s="94"/>
      <c r="C49" s="94"/>
    </row>
    <row r="50" spans="1:3" ht="16.2" customHeight="1">
      <c r="A50" s="142"/>
      <c r="B50" s="94"/>
      <c r="C50" s="94"/>
    </row>
    <row r="51" spans="1:3" ht="16.2" customHeight="1">
      <c r="A51" s="145"/>
      <c r="B51" s="94"/>
      <c r="C51" s="94"/>
    </row>
    <row r="52" spans="1:3" ht="16.2" customHeight="1">
      <c r="A52" s="145"/>
      <c r="B52" s="94"/>
      <c r="C52" s="94"/>
    </row>
    <row r="53" spans="1:3" ht="16.2" customHeight="1">
      <c r="A53" s="142"/>
      <c r="B53" s="94"/>
      <c r="C53" s="94"/>
    </row>
    <row r="54" spans="1:3" ht="16.2" customHeight="1">
      <c r="A54" s="145"/>
      <c r="B54" s="94"/>
      <c r="C54" s="94"/>
    </row>
    <row r="55" spans="1:3" ht="16.2" customHeight="1">
      <c r="A55" s="145"/>
      <c r="B55" s="94"/>
      <c r="C55" s="94"/>
    </row>
    <row r="56" spans="1:3" ht="16.2" customHeight="1">
      <c r="A56" s="142"/>
      <c r="B56" s="94"/>
      <c r="C56" s="94"/>
    </row>
    <row r="57" spans="1:3" ht="16.2" customHeight="1">
      <c r="A57" s="146"/>
      <c r="B57" s="94"/>
      <c r="C57" s="94"/>
    </row>
    <row r="58" spans="1:3" ht="16.2" customHeight="1">
      <c r="A58" s="145"/>
      <c r="B58" s="94"/>
      <c r="C58" s="94"/>
    </row>
    <row r="59" spans="1:3" ht="16.2" customHeight="1">
      <c r="A59" s="145"/>
      <c r="B59" s="94"/>
      <c r="C59" s="94"/>
    </row>
    <row r="60" spans="1:3" ht="16.2" customHeight="1">
      <c r="A60" s="147"/>
      <c r="B60" s="94"/>
      <c r="C60" s="94"/>
    </row>
    <row r="61" spans="1:3" ht="16.2" customHeight="1">
      <c r="B61" s="94"/>
      <c r="C61" s="94"/>
    </row>
    <row r="62" spans="1:3" ht="16.2" customHeight="1">
      <c r="B62" s="94"/>
      <c r="C62" s="94"/>
    </row>
    <row r="63" spans="1:3" ht="16.2" customHeight="1">
      <c r="B63" s="94"/>
      <c r="C63" s="94"/>
    </row>
    <row r="64" spans="1:3" ht="16.2" customHeight="1">
      <c r="B64" s="94"/>
      <c r="C64" s="94"/>
    </row>
    <row r="65" spans="2:3" ht="16.2" customHeight="1">
      <c r="B65" s="94"/>
      <c r="C65" s="94"/>
    </row>
    <row r="66" spans="2:3" ht="16.2" customHeight="1">
      <c r="B66" s="94"/>
      <c r="C66" s="94"/>
    </row>
    <row r="67" spans="2:3" ht="16.2" customHeight="1">
      <c r="B67" s="94"/>
      <c r="C67" s="94"/>
    </row>
    <row r="68" spans="2:3" ht="16.2" customHeight="1">
      <c r="B68" s="94"/>
      <c r="C68" s="94"/>
    </row>
    <row r="69" spans="2:3" ht="16.2" customHeight="1">
      <c r="B69" s="94"/>
      <c r="C69" s="94"/>
    </row>
    <row r="70" spans="2:3" ht="16.2" customHeight="1">
      <c r="B70" s="94"/>
      <c r="C70" s="94"/>
    </row>
    <row r="71" spans="2:3" ht="16.2" customHeight="1">
      <c r="B71" s="94"/>
      <c r="C71" s="94"/>
    </row>
    <row r="72" spans="2:3" ht="16.2" customHeight="1">
      <c r="B72" s="94"/>
      <c r="C72" s="94"/>
    </row>
    <row r="73" spans="2:3" ht="16.2" customHeight="1">
      <c r="B73" s="94"/>
      <c r="C73" s="94"/>
    </row>
    <row r="74" spans="2:3" ht="16.2" customHeight="1">
      <c r="B74" s="94"/>
      <c r="C74" s="94"/>
    </row>
    <row r="75" spans="2:3" ht="16.2" customHeight="1">
      <c r="B75" s="94"/>
      <c r="C75" s="94"/>
    </row>
    <row r="76" spans="2:3" ht="16.2" customHeight="1">
      <c r="B76" s="94"/>
      <c r="C76" s="94"/>
    </row>
    <row r="77" spans="2:3" ht="16.2" customHeight="1">
      <c r="B77" s="94"/>
      <c r="C77" s="94"/>
    </row>
    <row r="78" spans="2:3" ht="16.2" customHeight="1">
      <c r="B78" s="94"/>
      <c r="C78" s="94"/>
    </row>
    <row r="79" spans="2:3" ht="16.2" customHeight="1">
      <c r="B79" s="94"/>
      <c r="C79" s="94"/>
    </row>
    <row r="80" spans="2:3" ht="16.2" customHeight="1">
      <c r="B80" s="94"/>
      <c r="C80" s="94"/>
    </row>
    <row r="81" spans="2:3" ht="16.2" customHeight="1">
      <c r="B81" s="94"/>
      <c r="C81" s="94"/>
    </row>
    <row r="82" spans="2:3" ht="16.2" customHeight="1">
      <c r="B82" s="94"/>
      <c r="C82" s="94"/>
    </row>
    <row r="83" spans="2:3" ht="16.2" customHeight="1">
      <c r="B83" s="94"/>
      <c r="C83" s="94"/>
    </row>
    <row r="84" spans="2:3" ht="16.2" customHeight="1">
      <c r="B84" s="94"/>
      <c r="C84" s="94"/>
    </row>
    <row r="85" spans="2:3" ht="16.2" customHeight="1">
      <c r="B85" s="94"/>
      <c r="C85" s="94"/>
    </row>
    <row r="86" spans="2:3" ht="16.2" customHeight="1">
      <c r="B86" s="94"/>
      <c r="C86" s="94"/>
    </row>
    <row r="87" spans="2:3" ht="16.2" customHeight="1">
      <c r="B87" s="94"/>
      <c r="C87" s="94"/>
    </row>
    <row r="88" spans="2:3" ht="16.2" customHeight="1">
      <c r="B88" s="94"/>
      <c r="C88" s="94"/>
    </row>
    <row r="89" spans="2:3" ht="16.2" customHeight="1">
      <c r="B89" s="94"/>
      <c r="C89" s="94"/>
    </row>
    <row r="90" spans="2:3" ht="16.2" customHeight="1">
      <c r="B90" s="94"/>
      <c r="C90" s="94"/>
    </row>
    <row r="91" spans="2:3" ht="16.2" customHeight="1">
      <c r="B91" s="94"/>
      <c r="C91" s="94"/>
    </row>
    <row r="92" spans="2:3" ht="16.2" customHeight="1">
      <c r="B92" s="94"/>
      <c r="C92" s="94"/>
    </row>
    <row r="93" spans="2:3" ht="16.2" customHeight="1">
      <c r="B93" s="94"/>
      <c r="C93" s="94"/>
    </row>
    <row r="94" spans="2:3" ht="16.2" customHeight="1">
      <c r="B94" s="94"/>
      <c r="C94" s="94"/>
    </row>
    <row r="95" spans="2:3" ht="16.2" customHeight="1">
      <c r="B95" s="94"/>
      <c r="C95" s="94"/>
    </row>
    <row r="96" spans="2:3" ht="16.2" customHeight="1">
      <c r="B96" s="94"/>
      <c r="C96" s="94"/>
    </row>
    <row r="97" spans="2:3" ht="16.2" customHeight="1">
      <c r="B97" s="94"/>
      <c r="C97" s="94"/>
    </row>
    <row r="98" spans="2:3" ht="16.2" customHeight="1">
      <c r="B98" s="94"/>
      <c r="C98" s="94"/>
    </row>
    <row r="99" spans="2:3" ht="16.2" customHeight="1">
      <c r="B99" s="94"/>
      <c r="C99" s="94"/>
    </row>
    <row r="100" spans="2:3" ht="16.2" customHeight="1">
      <c r="B100" s="94"/>
      <c r="C100" s="94"/>
    </row>
    <row r="101" spans="2:3" ht="16.2" customHeight="1">
      <c r="B101" s="94"/>
      <c r="C101" s="94"/>
    </row>
    <row r="102" spans="2:3" ht="16.2" customHeight="1">
      <c r="B102" s="94"/>
      <c r="C102" s="94"/>
    </row>
    <row r="103" spans="2:3" ht="16.2" customHeight="1">
      <c r="B103" s="94"/>
      <c r="C103" s="94"/>
    </row>
    <row r="104" spans="2:3" ht="16.2" customHeight="1">
      <c r="B104" s="94"/>
      <c r="C104" s="94"/>
    </row>
    <row r="105" spans="2:3" ht="16.2" customHeight="1">
      <c r="B105" s="94"/>
      <c r="C105" s="94"/>
    </row>
    <row r="106" spans="2:3" ht="16.2" customHeight="1">
      <c r="B106" s="94"/>
      <c r="C106" s="94"/>
    </row>
    <row r="107" spans="2:3" ht="16.2" customHeight="1">
      <c r="B107" s="94"/>
      <c r="C107" s="94"/>
    </row>
    <row r="108" spans="2:3" ht="16.2" customHeight="1">
      <c r="B108" s="94"/>
      <c r="C108" s="94"/>
    </row>
  </sheetData>
  <mergeCells count="2">
    <mergeCell ref="AG12:AI35"/>
    <mergeCell ref="AJ12:AM35"/>
  </mergeCells>
  <phoneticPr fontId="3" type="noConversion"/>
  <pageMargins left="0.25" right="0.25" top="0.75" bottom="0.75" header="0.3" footer="0.3"/>
  <pageSetup paperSize="9" scale="74" fitToHeight="0" orientation="landscape" r:id="rId1"/>
  <colBreaks count="1" manualBreakCount="1">
    <brk id="27" max="1048575" man="1"/>
  </col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F118"/>
  <sheetViews>
    <sheetView showGridLines="0" view="pageBreakPreview" zoomScaleNormal="85" zoomScaleSheetLayoutView="100" workbookViewId="0">
      <pane xSplit="4" ySplit="2" topLeftCell="CH100" activePane="bottomRight" state="frozen"/>
      <selection activeCell="D50" sqref="D50"/>
      <selection pane="topRight" activeCell="D50" sqref="D50"/>
      <selection pane="bottomLeft" activeCell="D50" sqref="D50"/>
      <selection pane="bottomRight" activeCell="CL71" sqref="CL71"/>
    </sheetView>
  </sheetViews>
  <sheetFormatPr defaultColWidth="8.69921875" defaultRowHeight="16.2" customHeight="1" outlineLevelCol="1"/>
  <cols>
    <col min="1" max="1" width="3.19921875" style="141" customWidth="1"/>
    <col min="2" max="2" width="3.5" style="28" customWidth="1"/>
    <col min="3" max="3" width="16.69921875" style="8" customWidth="1"/>
    <col min="4" max="4" width="25.69921875" style="8" customWidth="1"/>
    <col min="5" max="8" width="9.19921875" style="479" hidden="1" customWidth="1" outlineLevel="1"/>
    <col min="9" max="9" width="9.19921875" style="274" hidden="1" customWidth="1" outlineLevel="1"/>
    <col min="10" max="11" width="5.69921875" style="275" hidden="1" customWidth="1" outlineLevel="1"/>
    <col min="12" max="12" width="9.19921875" style="274" hidden="1" customWidth="1" outlineLevel="1"/>
    <col min="13" max="14" width="5.69921875" style="275" hidden="1" customWidth="1" outlineLevel="1"/>
    <col min="15" max="15" width="9.19921875" style="274" hidden="1" customWidth="1" outlineLevel="1"/>
    <col min="16" max="17" width="5.69921875" style="275" hidden="1" customWidth="1" outlineLevel="1"/>
    <col min="18" max="18" width="9.19921875" style="274" hidden="1" customWidth="1" outlineLevel="1"/>
    <col min="19" max="20" width="5.69921875" style="275" hidden="1" customWidth="1" outlineLevel="1"/>
    <col min="21" max="21" width="9.19921875" style="274" hidden="1" customWidth="1" outlineLevel="1"/>
    <col min="22" max="23" width="5.69921875" style="275" hidden="1" customWidth="1" outlineLevel="1"/>
    <col min="24" max="24" width="9.19921875" style="274" hidden="1" customWidth="1" outlineLevel="1"/>
    <col min="25" max="26" width="5.69921875" style="275" hidden="1" customWidth="1" outlineLevel="1"/>
    <col min="27" max="27" width="9.19921875" style="274" hidden="1" customWidth="1" outlineLevel="1"/>
    <col min="28" max="29" width="5.69921875" style="275" hidden="1" customWidth="1" outlineLevel="1"/>
    <col min="30" max="30" width="9.19921875" style="274" hidden="1" customWidth="1" outlineLevel="1"/>
    <col min="31" max="32" width="5.69921875" style="275" hidden="1" customWidth="1" outlineLevel="1"/>
    <col min="33" max="33" width="9.19921875" style="274" hidden="1" customWidth="1" outlineLevel="1"/>
    <col min="34" max="35" width="5.69921875" style="275" hidden="1" customWidth="1" outlineLevel="1"/>
    <col min="36" max="36" width="9.19921875" style="274" hidden="1" customWidth="1" outlineLevel="1"/>
    <col min="37" max="38" width="5.69921875" style="275" hidden="1" customWidth="1" outlineLevel="1"/>
    <col min="39" max="39" width="9.19921875" style="274" hidden="1" customWidth="1" outlineLevel="1"/>
    <col min="40" max="41" width="5.69921875" style="275" hidden="1" customWidth="1" outlineLevel="1"/>
    <col min="42" max="42" width="9.19921875" style="274" hidden="1" customWidth="1" outlineLevel="1"/>
    <col min="43" max="44" width="5.69921875" style="275" hidden="1" customWidth="1" outlineLevel="1"/>
    <col min="45" max="45" width="9.19921875" style="274" hidden="1" customWidth="1" outlineLevel="1" collapsed="1"/>
    <col min="46" max="47" width="5.69921875" style="275" hidden="1" customWidth="1" outlineLevel="1"/>
    <col min="48" max="48" width="9.19921875" style="274" hidden="1" customWidth="1" outlineLevel="1"/>
    <col min="49" max="50" width="5.69921875" style="275" hidden="1" customWidth="1" outlineLevel="1"/>
    <col min="51" max="51" width="9.19921875" style="274" hidden="1" customWidth="1" outlineLevel="1"/>
    <col min="52" max="53" width="5.69921875" style="275" hidden="1" customWidth="1" outlineLevel="1"/>
    <col min="54" max="54" width="9.19921875" style="274" hidden="1" customWidth="1" outlineLevel="1"/>
    <col min="55" max="56" width="5.69921875" style="275" hidden="1" customWidth="1" outlineLevel="1"/>
    <col min="57" max="57" width="9.19921875" style="274" hidden="1" customWidth="1" outlineLevel="1"/>
    <col min="58" max="59" width="5.69921875" style="275" hidden="1" customWidth="1" outlineLevel="1"/>
    <col min="60" max="60" width="9.19921875" style="274" hidden="1" customWidth="1" outlineLevel="1"/>
    <col min="61" max="62" width="5.69921875" style="275" hidden="1" customWidth="1" outlineLevel="1"/>
    <col min="63" max="63" width="9.19921875" style="274" hidden="1" customWidth="1" outlineLevel="1"/>
    <col min="64" max="65" width="5.69921875" style="275" hidden="1" customWidth="1" outlineLevel="1"/>
    <col min="66" max="66" width="9.19921875" style="274" hidden="1" customWidth="1" outlineLevel="1"/>
    <col min="67" max="68" width="5.69921875" style="275" hidden="1" customWidth="1" outlineLevel="1"/>
    <col min="69" max="69" width="9.19921875" style="274" hidden="1" customWidth="1" outlineLevel="1"/>
    <col min="70" max="71" width="5.69921875" style="275" hidden="1" customWidth="1" outlineLevel="1"/>
    <col min="72" max="72" width="9.19921875" style="274" hidden="1" customWidth="1" outlineLevel="1"/>
    <col min="73" max="74" width="5.69921875" style="275" hidden="1" customWidth="1" outlineLevel="1"/>
    <col min="75" max="75" width="9.19921875" style="274" hidden="1" customWidth="1" outlineLevel="1"/>
    <col min="76" max="77" width="5.69921875" style="275" hidden="1" customWidth="1" outlineLevel="1"/>
    <col min="78" max="78" width="9.19921875" style="274" hidden="1" customWidth="1" outlineLevel="1"/>
    <col min="79" max="80" width="5.69921875" style="275" hidden="1" customWidth="1" outlineLevel="1"/>
    <col min="81" max="81" width="9.19921875" style="274" customWidth="1" collapsed="1"/>
    <col min="82" max="82" width="5.69921875" style="275" customWidth="1"/>
    <col min="83" max="83" width="6.5" style="275" customWidth="1"/>
    <col min="84" max="84" width="9.19921875" style="274" customWidth="1"/>
    <col min="85" max="85" width="6.296875" style="275" customWidth="1"/>
    <col min="86" max="86" width="6.19921875" style="275" customWidth="1"/>
    <col min="87" max="87" width="9.19921875" style="274" customWidth="1"/>
    <col min="88" max="88" width="5.69921875" style="275" customWidth="1"/>
    <col min="89" max="89" width="6.19921875" style="275" customWidth="1"/>
    <col min="90" max="90" width="9.19921875" style="274" customWidth="1"/>
    <col min="91" max="91" width="7.19921875" style="275" customWidth="1"/>
    <col min="92" max="92" width="6.59765625" style="275" customWidth="1"/>
    <col min="93" max="93" width="9.19921875" style="274" customWidth="1"/>
    <col min="94" max="94" width="7.5" style="275" customWidth="1"/>
    <col min="95" max="95" width="6.5" style="275" customWidth="1"/>
    <col min="96" max="96" width="9.19921875" style="274" customWidth="1"/>
    <col min="97" max="97" width="6.296875" style="275" customWidth="1"/>
    <col min="98" max="98" width="6.19921875" style="275" customWidth="1"/>
    <col min="99" max="99" width="9.19921875" style="274" hidden="1" customWidth="1"/>
    <col min="100" max="100" width="5.69921875" style="275" hidden="1" customWidth="1"/>
    <col min="101" max="101" width="6.19921875" style="275" hidden="1" customWidth="1"/>
    <col min="102" max="102" width="9.19921875" style="274" hidden="1" customWidth="1"/>
    <col min="103" max="103" width="7.19921875" style="275" hidden="1" customWidth="1"/>
    <col min="104" max="104" width="6.59765625" style="275" hidden="1" customWidth="1"/>
    <col min="105" max="105" width="0" style="8" hidden="1" customWidth="1"/>
    <col min="106" max="106" width="8.69921875" style="8"/>
    <col min="107" max="107" width="11.5" style="8" bestFit="1" customWidth="1"/>
    <col min="108" max="108" width="14.8984375" style="8" bestFit="1" customWidth="1"/>
    <col min="109" max="109" width="10.09765625" style="8" bestFit="1" customWidth="1"/>
    <col min="110" max="16384" width="8.69921875" style="8"/>
  </cols>
  <sheetData>
    <row r="1" spans="1:104" ht="16.2" customHeight="1" thickBot="1">
      <c r="A1" s="142"/>
      <c r="B1" s="14" t="s">
        <v>146</v>
      </c>
      <c r="C1" s="14"/>
      <c r="P1" s="274"/>
      <c r="Q1" s="274"/>
      <c r="S1" s="274"/>
      <c r="AB1" s="274"/>
      <c r="AC1" s="274"/>
      <c r="AE1" s="274"/>
      <c r="AN1" s="274"/>
      <c r="AO1" s="274"/>
      <c r="AQ1" s="274"/>
      <c r="AZ1" s="274"/>
      <c r="BA1" s="274"/>
      <c r="BC1" s="274"/>
      <c r="BL1" s="274"/>
      <c r="BM1" s="274"/>
      <c r="BO1" s="274"/>
      <c r="BX1" s="274"/>
      <c r="BY1" s="274"/>
      <c r="BZ1" s="8" t="s">
        <v>315</v>
      </c>
      <c r="CA1" s="274"/>
      <c r="CL1" s="8"/>
      <c r="CX1" s="8"/>
    </row>
    <row r="2" spans="1:104" s="14" customFormat="1" ht="16.2" customHeight="1">
      <c r="A2" s="141">
        <v>1</v>
      </c>
      <c r="B2" s="16"/>
      <c r="C2" s="17" t="s">
        <v>402</v>
      </c>
      <c r="D2" s="6" t="s">
        <v>404</v>
      </c>
      <c r="E2" s="480" t="s">
        <v>310</v>
      </c>
      <c r="F2" s="481" t="s">
        <v>311</v>
      </c>
      <c r="G2" s="481" t="s">
        <v>312</v>
      </c>
      <c r="H2" s="481" t="s">
        <v>313</v>
      </c>
      <c r="I2" s="276" t="s">
        <v>297</v>
      </c>
      <c r="J2" s="277" t="s">
        <v>9</v>
      </c>
      <c r="K2" s="278" t="s">
        <v>0</v>
      </c>
      <c r="L2" s="277" t="s">
        <v>298</v>
      </c>
      <c r="M2" s="277" t="s">
        <v>9</v>
      </c>
      <c r="N2" s="278" t="s">
        <v>0</v>
      </c>
      <c r="O2" s="277" t="s">
        <v>299</v>
      </c>
      <c r="P2" s="277" t="s">
        <v>9</v>
      </c>
      <c r="Q2" s="278" t="s">
        <v>0</v>
      </c>
      <c r="R2" s="277" t="s">
        <v>300</v>
      </c>
      <c r="S2" s="277" t="s">
        <v>9</v>
      </c>
      <c r="T2" s="279" t="s">
        <v>0</v>
      </c>
      <c r="U2" s="276" t="s">
        <v>301</v>
      </c>
      <c r="V2" s="277" t="s">
        <v>9</v>
      </c>
      <c r="W2" s="278" t="s">
        <v>0</v>
      </c>
      <c r="X2" s="277" t="s">
        <v>302</v>
      </c>
      <c r="Y2" s="277" t="s">
        <v>9</v>
      </c>
      <c r="Z2" s="278" t="s">
        <v>0</v>
      </c>
      <c r="AA2" s="277" t="s">
        <v>303</v>
      </c>
      <c r="AB2" s="277" t="s">
        <v>9</v>
      </c>
      <c r="AC2" s="278" t="s">
        <v>0</v>
      </c>
      <c r="AD2" s="277" t="s">
        <v>304</v>
      </c>
      <c r="AE2" s="277" t="s">
        <v>9</v>
      </c>
      <c r="AF2" s="279" t="s">
        <v>0</v>
      </c>
      <c r="AG2" s="276" t="s">
        <v>305</v>
      </c>
      <c r="AH2" s="277" t="s">
        <v>9</v>
      </c>
      <c r="AI2" s="278" t="s">
        <v>0</v>
      </c>
      <c r="AJ2" s="277" t="s">
        <v>306</v>
      </c>
      <c r="AK2" s="277" t="s">
        <v>9</v>
      </c>
      <c r="AL2" s="278" t="s">
        <v>0</v>
      </c>
      <c r="AM2" s="277" t="s">
        <v>307</v>
      </c>
      <c r="AN2" s="277" t="s">
        <v>9</v>
      </c>
      <c r="AO2" s="278" t="s">
        <v>0</v>
      </c>
      <c r="AP2" s="277" t="s">
        <v>308</v>
      </c>
      <c r="AQ2" s="277" t="s">
        <v>9</v>
      </c>
      <c r="AR2" s="279" t="s">
        <v>0</v>
      </c>
      <c r="AS2" s="276" t="s">
        <v>282</v>
      </c>
      <c r="AT2" s="277" t="s">
        <v>9</v>
      </c>
      <c r="AU2" s="278" t="s">
        <v>0</v>
      </c>
      <c r="AV2" s="277" t="s">
        <v>283</v>
      </c>
      <c r="AW2" s="277" t="s">
        <v>9</v>
      </c>
      <c r="AX2" s="278" t="s">
        <v>0</v>
      </c>
      <c r="AY2" s="277" t="s">
        <v>284</v>
      </c>
      <c r="AZ2" s="277" t="s">
        <v>9</v>
      </c>
      <c r="BA2" s="278" t="s">
        <v>0</v>
      </c>
      <c r="BB2" s="277" t="s">
        <v>285</v>
      </c>
      <c r="BC2" s="277" t="s">
        <v>9</v>
      </c>
      <c r="BD2" s="279" t="s">
        <v>0</v>
      </c>
      <c r="BE2" s="276" t="s">
        <v>286</v>
      </c>
      <c r="BF2" s="277" t="s">
        <v>9</v>
      </c>
      <c r="BG2" s="278" t="s">
        <v>0</v>
      </c>
      <c r="BH2" s="277" t="s">
        <v>287</v>
      </c>
      <c r="BI2" s="277" t="s">
        <v>9</v>
      </c>
      <c r="BJ2" s="278" t="s">
        <v>0</v>
      </c>
      <c r="BK2" s="277" t="s">
        <v>288</v>
      </c>
      <c r="BL2" s="277" t="s">
        <v>9</v>
      </c>
      <c r="BM2" s="278" t="s">
        <v>0</v>
      </c>
      <c r="BN2" s="277" t="s">
        <v>289</v>
      </c>
      <c r="BO2" s="277" t="s">
        <v>9</v>
      </c>
      <c r="BP2" s="279" t="s">
        <v>0</v>
      </c>
      <c r="BQ2" s="276" t="s">
        <v>197</v>
      </c>
      <c r="BR2" s="277" t="s">
        <v>9</v>
      </c>
      <c r="BS2" s="278" t="s">
        <v>0</v>
      </c>
      <c r="BT2" s="277" t="s">
        <v>215</v>
      </c>
      <c r="BU2" s="277" t="s">
        <v>9</v>
      </c>
      <c r="BV2" s="278" t="s">
        <v>0</v>
      </c>
      <c r="BW2" s="277" t="s">
        <v>216</v>
      </c>
      <c r="BX2" s="277" t="s">
        <v>9</v>
      </c>
      <c r="BY2" s="278" t="s">
        <v>0</v>
      </c>
      <c r="BZ2" s="277" t="s">
        <v>217</v>
      </c>
      <c r="CA2" s="277" t="s">
        <v>9</v>
      </c>
      <c r="CB2" s="279" t="s">
        <v>0</v>
      </c>
      <c r="CC2" s="276" t="s">
        <v>244</v>
      </c>
      <c r="CD2" s="277" t="s">
        <v>9</v>
      </c>
      <c r="CE2" s="278" t="s">
        <v>0</v>
      </c>
      <c r="CF2" s="277" t="s">
        <v>325</v>
      </c>
      <c r="CG2" s="277" t="s">
        <v>9</v>
      </c>
      <c r="CH2" s="278" t="s">
        <v>0</v>
      </c>
      <c r="CI2" s="277" t="s">
        <v>355</v>
      </c>
      <c r="CJ2" s="277" t="s">
        <v>9</v>
      </c>
      <c r="CK2" s="278" t="s">
        <v>0</v>
      </c>
      <c r="CL2" s="277" t="s">
        <v>453</v>
      </c>
      <c r="CM2" s="277" t="s">
        <v>9</v>
      </c>
      <c r="CN2" s="278" t="s">
        <v>0</v>
      </c>
      <c r="CO2" s="276" t="s">
        <v>474</v>
      </c>
      <c r="CP2" s="277" t="s">
        <v>9</v>
      </c>
      <c r="CQ2" s="278" t="s">
        <v>0</v>
      </c>
      <c r="CR2" s="277" t="s">
        <v>475</v>
      </c>
      <c r="CS2" s="277" t="s">
        <v>9</v>
      </c>
      <c r="CT2" s="278" t="s">
        <v>0</v>
      </c>
      <c r="CU2" s="277" t="s">
        <v>476</v>
      </c>
      <c r="CV2" s="277" t="s">
        <v>9</v>
      </c>
      <c r="CW2" s="278" t="s">
        <v>0</v>
      </c>
      <c r="CX2" s="277" t="s">
        <v>477</v>
      </c>
      <c r="CY2" s="277" t="s">
        <v>9</v>
      </c>
      <c r="CZ2" s="278" t="s">
        <v>0</v>
      </c>
    </row>
    <row r="3" spans="1:104" s="14" customFormat="1" ht="16.2" customHeight="1">
      <c r="A3" s="141">
        <f>A2+1</f>
        <v>2</v>
      </c>
      <c r="B3" s="18" t="s">
        <v>10</v>
      </c>
      <c r="C3" s="19"/>
      <c r="D3" s="634" t="s">
        <v>11</v>
      </c>
      <c r="E3" s="482">
        <f>E15+E4</f>
        <v>65258.445511999998</v>
      </c>
      <c r="F3" s="483">
        <f>F15+F4</f>
        <v>67506.482514000003</v>
      </c>
      <c r="G3" s="483">
        <f>G15+G4</f>
        <v>65963.596936000002</v>
      </c>
      <c r="H3" s="483">
        <f>H15+H4</f>
        <v>75677.203787000006</v>
      </c>
      <c r="I3" s="494">
        <f>I15+I4</f>
        <v>82848.056214000011</v>
      </c>
      <c r="J3" s="280">
        <f>IFERROR(I3/H3-1,)</f>
        <v>9.4755779391413331E-2</v>
      </c>
      <c r="K3" s="281">
        <f>IFERROR(I3/E3-1,)</f>
        <v>0.26953769070036393</v>
      </c>
      <c r="L3" s="282">
        <f>L15+L4</f>
        <v>87242.541507000002</v>
      </c>
      <c r="M3" s="280">
        <f>IFERROR(L3/I3-1,)</f>
        <v>5.3042708469210886E-2</v>
      </c>
      <c r="N3" s="281">
        <f>IFERROR(L3/F3-1,)</f>
        <v>0.29235798190058238</v>
      </c>
      <c r="O3" s="282">
        <f>O15+O4</f>
        <v>100126.03041099999</v>
      </c>
      <c r="P3" s="280">
        <f>IFERROR(O3/L3-1,)</f>
        <v>0.14767438776375252</v>
      </c>
      <c r="Q3" s="281">
        <f>IFERROR(O3/G3-1,)</f>
        <v>0.51789828120115211</v>
      </c>
      <c r="R3" s="282">
        <f>R15+R4</f>
        <v>113657.44126300002</v>
      </c>
      <c r="S3" s="280">
        <f>IFERROR(R3/O3-1,)</f>
        <v>0.13514378625074763</v>
      </c>
      <c r="T3" s="283">
        <f>IFERROR(R3/H3-1,)</f>
        <v>0.50187157526193293</v>
      </c>
      <c r="U3" s="494">
        <f>U15+U4</f>
        <v>125213.27323799999</v>
      </c>
      <c r="V3" s="280">
        <f>IFERROR(U3/R3-1,0)</f>
        <v>0.1016724628549408</v>
      </c>
      <c r="W3" s="281">
        <f>IFERROR(U3/I3-1,)</f>
        <v>0.51136042244091828</v>
      </c>
      <c r="X3" s="282">
        <f>X15+X4</f>
        <v>123101.55900200002</v>
      </c>
      <c r="Y3" s="280">
        <f>IFERROR(X3/U3-1,0)</f>
        <v>-1.6864939166521986E-2</v>
      </c>
      <c r="Z3" s="281">
        <f>IFERROR(X3/L3-1,)</f>
        <v>0.41102674080308432</v>
      </c>
      <c r="AA3" s="282">
        <f>AA15+AA4</f>
        <v>123711.197873</v>
      </c>
      <c r="AB3" s="280">
        <f>IFERROR(AA3/X3-1,0)</f>
        <v>4.9523245354681222E-3</v>
      </c>
      <c r="AC3" s="281">
        <f>IFERROR(AA3/O3-1,)</f>
        <v>0.23555480393247374</v>
      </c>
      <c r="AD3" s="282">
        <f>AD15+AD4</f>
        <v>137526.116239</v>
      </c>
      <c r="AE3" s="280">
        <f>IFERROR(AD3/AA3-1,0)</f>
        <v>0.11167071860529698</v>
      </c>
      <c r="AF3" s="283">
        <f>IFERROR(AD3/R3-1,)</f>
        <v>0.2100053873355161</v>
      </c>
      <c r="AG3" s="494">
        <f>AG15+AG4</f>
        <v>148752.20316400001</v>
      </c>
      <c r="AH3" s="280">
        <f>IFERROR(AG3/AD3-1,0)</f>
        <v>8.1628764281329147E-2</v>
      </c>
      <c r="AI3" s="281">
        <f>IFERROR(AG3/U3-1,)</f>
        <v>0.18799069233864873</v>
      </c>
      <c r="AJ3" s="282">
        <f>AJ15+AJ4</f>
        <v>159020.24689899999</v>
      </c>
      <c r="AK3" s="280">
        <f>IFERROR(AJ3/AG3-1,0)</f>
        <v>6.9027843061117089E-2</v>
      </c>
      <c r="AL3" s="281">
        <f>IFERROR(AJ3/X3-1,)</f>
        <v>0.29178093428058371</v>
      </c>
      <c r="AM3" s="282">
        <f>AM15+AM4</f>
        <v>173655.54235499998</v>
      </c>
      <c r="AN3" s="280">
        <f>IFERROR(AM3/AJ3-1,0)</f>
        <v>9.2034163833838445E-2</v>
      </c>
      <c r="AO3" s="281">
        <f>IFERROR(AM3/AA3-1,)</f>
        <v>0.40371724905026052</v>
      </c>
      <c r="AP3" s="282">
        <f>AP15+AP4</f>
        <v>216379.20556199999</v>
      </c>
      <c r="AQ3" s="280">
        <f>IFERROR(AP3/AM3-1,0)</f>
        <v>0.24602533629281464</v>
      </c>
      <c r="AR3" s="283">
        <f>IFERROR(AP3/AD3-1,)</f>
        <v>0.57336810985024123</v>
      </c>
      <c r="AS3" s="494">
        <f>AS15+AS4</f>
        <v>304075.81447500002</v>
      </c>
      <c r="AT3" s="280">
        <f>IFERROR(AS3/AP3-1,0)</f>
        <v>0.40529129721696844</v>
      </c>
      <c r="AU3" s="281">
        <f>IFERROR(AS3/AG3-1,)</f>
        <v>1.0441768794493416</v>
      </c>
      <c r="AV3" s="282">
        <f>AV15+AV4</f>
        <v>312182.54843999998</v>
      </c>
      <c r="AW3" s="280">
        <f>IFERROR(AV3/AS3-1,0)</f>
        <v>2.6660239253150086E-2</v>
      </c>
      <c r="AX3" s="281">
        <f>IFERROR(AV3/AJ3-1,)</f>
        <v>0.96316226724436782</v>
      </c>
      <c r="AY3" s="282">
        <f>AY15+AY4</f>
        <v>334294.15943</v>
      </c>
      <c r="AZ3" s="280">
        <f>IFERROR(AY3/AV3-1,0)</f>
        <v>7.0829106561188127E-2</v>
      </c>
      <c r="BA3" s="281">
        <f>IFERROR(AY3/AM3-1,)</f>
        <v>0.92504169401406289</v>
      </c>
      <c r="BB3" s="282">
        <f>BB15+BB4</f>
        <v>331411.10808899999</v>
      </c>
      <c r="BC3" s="280">
        <f>IFERROR(BB3/AY3-1,0)</f>
        <v>-8.624294680816047E-3</v>
      </c>
      <c r="BD3" s="283">
        <f>IFERROR(BB3/AP3-1,)</f>
        <v>0.53162179899971695</v>
      </c>
      <c r="BE3" s="462">
        <f>BE15+BE4</f>
        <v>352378.25742399995</v>
      </c>
      <c r="BF3" s="280">
        <f>IFERROR(BE3/BB3-1,0)</f>
        <v>6.3266284150527818E-2</v>
      </c>
      <c r="BG3" s="281">
        <f t="shared" ref="BG3:BG34" si="0">IFERROR(BE3/AS3-1,)</f>
        <v>0.15884999940687883</v>
      </c>
      <c r="BH3" s="463">
        <f>BH15+BH4</f>
        <v>359536.77002099995</v>
      </c>
      <c r="BI3" s="280">
        <f>IFERROR(BH3/BE3-1,0)</f>
        <v>2.0314853275372524E-2</v>
      </c>
      <c r="BJ3" s="281">
        <f t="shared" ref="BJ3:BJ54" si="1">IFERROR(BH3/AV3-1,)</f>
        <v>0.15168760014815885</v>
      </c>
      <c r="BK3" s="463">
        <f>BK15+BK4</f>
        <v>363110.04936199996</v>
      </c>
      <c r="BL3" s="280">
        <f>IFERROR(BK3/BH3-1,0)</f>
        <v>9.9385643943770141E-3</v>
      </c>
      <c r="BM3" s="281">
        <f t="shared" ref="BM3:BM54" si="2">IFERROR(BK3/AY3-1,)</f>
        <v>8.6199202466275437E-2</v>
      </c>
      <c r="BN3" s="463">
        <f>BN15+BN4</f>
        <v>375443.02176100004</v>
      </c>
      <c r="BO3" s="280">
        <f>IFERROR(BN3/BK3-1,0)</f>
        <v>3.3964833583288723E-2</v>
      </c>
      <c r="BP3" s="283">
        <f t="shared" ref="BP3:BP54" si="3">IFERROR(BN3/BB3-1,)</f>
        <v>0.13286191258313318</v>
      </c>
      <c r="BQ3" s="462">
        <f>BQ15+BQ4</f>
        <v>402862.55748999998</v>
      </c>
      <c r="BR3" s="280">
        <f>IFERROR(BQ3/BN3-1,0)</f>
        <v>7.3032482000570331E-2</v>
      </c>
      <c r="BS3" s="281">
        <f>IFERROR(BQ3/BE3-1,)</f>
        <v>0.14326735263139323</v>
      </c>
      <c r="BT3" s="463">
        <f>BT15+BT4</f>
        <v>418525.08788893209</v>
      </c>
      <c r="BU3" s="280">
        <f>IFERROR(BT3/BQ3-1,0)</f>
        <v>3.8878099013510026E-2</v>
      </c>
      <c r="BV3" s="281">
        <f>IFERROR(BT3/BH3-1,)</f>
        <v>0.1640675524355597</v>
      </c>
      <c r="BW3" s="463">
        <f>BW15+BW4</f>
        <v>433669.19059999997</v>
      </c>
      <c r="BX3" s="280">
        <f>IFERROR(BW3/BT3-1,0)</f>
        <v>3.6184456199401804E-2</v>
      </c>
      <c r="BY3" s="281">
        <f>IFERROR(BW3/BK3-1,)</f>
        <v>0.19431888861785973</v>
      </c>
      <c r="BZ3" s="463">
        <f>BZ15+BZ4</f>
        <v>608378.808831</v>
      </c>
      <c r="CA3" s="280">
        <f>IFERROR(BZ3/BW3-1,0)</f>
        <v>0.40286380037576985</v>
      </c>
      <c r="CB3" s="283">
        <f>IFERROR(BZ3/BN3-1,)</f>
        <v>0.62042912923890348</v>
      </c>
      <c r="CC3" s="462">
        <f>CC15+CC4</f>
        <v>631904.40899999999</v>
      </c>
      <c r="CD3" s="280">
        <f>IFERROR(CC3/BZ3-1,0)</f>
        <v>3.8669328759501687E-2</v>
      </c>
      <c r="CE3" s="281">
        <f>IFERROR(CC3/BQ3-1,)</f>
        <v>0.56853596158706154</v>
      </c>
      <c r="CF3" s="463">
        <f>CF15+CF4+1</f>
        <v>626555.49929499999</v>
      </c>
      <c r="CG3" s="280">
        <f>IFERROR(CF3/CC3-1,0)</f>
        <v>-8.4647450291804871E-3</v>
      </c>
      <c r="CH3" s="281">
        <f>IFERROR(CF3/BT3-1,)</f>
        <v>0.49705601271213373</v>
      </c>
      <c r="CI3" s="463">
        <f>CI15+CI4</f>
        <v>654403.55809199996</v>
      </c>
      <c r="CJ3" s="280">
        <f>IFERROR(CI3/CF3-1,0)</f>
        <v>4.4446276233046644E-2</v>
      </c>
      <c r="CK3" s="281">
        <f>IFERROR(CI3/BW3-1,)</f>
        <v>0.50899250460150158</v>
      </c>
      <c r="CL3" s="463">
        <f>CL15+CL4+1</f>
        <v>704650.4</v>
      </c>
      <c r="CM3" s="280">
        <f>IFERROR(CL3/CI3-1,0)</f>
        <v>7.6782653894030384E-2</v>
      </c>
      <c r="CN3" s="281">
        <f>IFERROR(CL3/BZ3-1,)</f>
        <v>0.15824284109103992</v>
      </c>
      <c r="CO3" s="462">
        <f>CO15+CO4</f>
        <v>799840.31</v>
      </c>
      <c r="CP3" s="280">
        <f>IFERROR(CO3/CL3-1,0)</f>
        <v>0.1350881373231323</v>
      </c>
      <c r="CQ3" s="281">
        <f>IFERROR(CO3/CC3-1,)</f>
        <v>0.26576155919810973</v>
      </c>
      <c r="CR3" s="462">
        <f>CR15+CR4</f>
        <v>774744.60071299993</v>
      </c>
      <c r="CS3" s="280">
        <f>IFERROR(CR3/CO3-1,0)</f>
        <v>-3.1375899630515125E-2</v>
      </c>
      <c r="CT3" s="281">
        <f>IFERROR(CR3/CF3-1,)</f>
        <v>0.23651392667487925</v>
      </c>
      <c r="CU3" s="462">
        <f>CU15+CU4</f>
        <v>0</v>
      </c>
      <c r="CV3" s="280">
        <f>IFERROR(CU3/CR3-1,0)</f>
        <v>-1</v>
      </c>
      <c r="CW3" s="281">
        <f>IFERROR(CU3/CI3-1,)</f>
        <v>-1</v>
      </c>
      <c r="CX3" s="462">
        <f>CX15+CX4</f>
        <v>0</v>
      </c>
      <c r="CY3" s="280">
        <f>IFERROR(CX3/CU3-1,0)</f>
        <v>0</v>
      </c>
      <c r="CZ3" s="281">
        <f>IFERROR(CX3/CL3-1,)</f>
        <v>-1</v>
      </c>
    </row>
    <row r="4" spans="1:104" s="22" customFormat="1" ht="16.2" customHeight="1">
      <c r="A4" s="141">
        <f t="shared" ref="A4:A54" si="4">A3+1</f>
        <v>3</v>
      </c>
      <c r="B4" s="20" t="s">
        <v>12</v>
      </c>
      <c r="C4" s="21"/>
      <c r="D4" s="635" t="s">
        <v>13</v>
      </c>
      <c r="E4" s="484">
        <f>SUM(E5:E13)</f>
        <v>29690.824758999996</v>
      </c>
      <c r="F4" s="485">
        <f>SUM(F5:F13)</f>
        <v>31448.371665999992</v>
      </c>
      <c r="G4" s="485">
        <f>SUM(G5:G13)</f>
        <v>29016.565249999996</v>
      </c>
      <c r="H4" s="485">
        <f>SUM(H5:H13)</f>
        <v>26596.473248000002</v>
      </c>
      <c r="I4" s="495">
        <f>SUM(I5:I13)</f>
        <v>33276.433339999996</v>
      </c>
      <c r="J4" s="284">
        <f t="shared" ref="J4:J54" si="5">IFERROR(I4/H4-1,)</f>
        <v>0.25115961916124774</v>
      </c>
      <c r="K4" s="285">
        <f t="shared" ref="K4:K54" si="6">IFERROR(I4/E4-1,)</f>
        <v>0.12076486962232735</v>
      </c>
      <c r="L4" s="135">
        <f>SUM(L5:L13)</f>
        <v>33153.086559999996</v>
      </c>
      <c r="M4" s="284">
        <f t="shared" ref="M4:M54" si="7">IFERROR(L4/I4-1,)</f>
        <v>-3.7067307887149736E-3</v>
      </c>
      <c r="N4" s="285">
        <f t="shared" ref="N4:N54" si="8">IFERROR(L4/F4-1,)</f>
        <v>5.4206777765954506E-2</v>
      </c>
      <c r="O4" s="135">
        <f>SUM(O5:O13)</f>
        <v>45622.307109999994</v>
      </c>
      <c r="P4" s="284">
        <f t="shared" ref="P4:P54" si="9">IFERROR(O4/L4-1,)</f>
        <v>0.37611039706464067</v>
      </c>
      <c r="Q4" s="285">
        <f t="shared" ref="Q4:Q54" si="10">IFERROR(O4/G4-1,)</f>
        <v>0.57228489026625917</v>
      </c>
      <c r="R4" s="135">
        <f>SUM(R5:R13)</f>
        <v>57647.141853000001</v>
      </c>
      <c r="S4" s="284">
        <f t="shared" ref="S4:S54" si="11">IFERROR(R4/O4-1,)</f>
        <v>0.26357357846912288</v>
      </c>
      <c r="T4" s="286">
        <f t="shared" ref="T4:T54" si="12">IFERROR(R4/H4-1,)</f>
        <v>1.1674731576426187</v>
      </c>
      <c r="U4" s="495">
        <f>SUM(U5:U13)</f>
        <v>69390.592065000004</v>
      </c>
      <c r="V4" s="284">
        <f>IFERROR(U4/R4-1,0)</f>
        <v>0.203712618432077</v>
      </c>
      <c r="W4" s="285">
        <f t="shared" ref="W4:W54" si="13">IFERROR(U4/I4-1,)</f>
        <v>1.0852773299351441</v>
      </c>
      <c r="X4" s="135">
        <f>SUM(X5:X13)</f>
        <v>67797.109952000013</v>
      </c>
      <c r="Y4" s="284">
        <f>IFERROR(X4/U4-1,0)</f>
        <v>-2.29639503797191E-2</v>
      </c>
      <c r="Z4" s="285">
        <f t="shared" ref="Z4:Z54" si="14">IFERROR(X4/L4-1,)</f>
        <v>1.0449712828186222</v>
      </c>
      <c r="AA4" s="135">
        <f>SUM(AA5:AA13)</f>
        <v>68405.505810999995</v>
      </c>
      <c r="AB4" s="284">
        <f>IFERROR(AA4/X4-1,0)</f>
        <v>8.9737727674634726E-3</v>
      </c>
      <c r="AC4" s="285">
        <f t="shared" ref="AC4:AC54" si="15">IFERROR(AA4/O4-1,)</f>
        <v>0.49938725470562906</v>
      </c>
      <c r="AD4" s="135">
        <f>SUM(AD5:AD13)</f>
        <v>83012.388495000007</v>
      </c>
      <c r="AE4" s="284">
        <f>IFERROR(AD4/AA4-1,0)</f>
        <v>0.2135337281820251</v>
      </c>
      <c r="AF4" s="286">
        <f t="shared" ref="AF4:AF54" si="16">IFERROR(AD4/R4-1,)</f>
        <v>0.44000874677674906</v>
      </c>
      <c r="AG4" s="495">
        <f>SUM(AG5:AG13)</f>
        <v>92106.536024999994</v>
      </c>
      <c r="AH4" s="284">
        <f>IFERROR(AG4/AD4-1,0)</f>
        <v>0.10955169095691963</v>
      </c>
      <c r="AI4" s="285">
        <f t="shared" ref="AI4:AI54" si="17">IFERROR(AG4/U4-1,)</f>
        <v>0.32736345495829422</v>
      </c>
      <c r="AJ4" s="135">
        <f>SUM(AJ5:AJ13)</f>
        <v>87668.031784999999</v>
      </c>
      <c r="AK4" s="284">
        <f>IFERROR(AJ4/AG4-1,0)</f>
        <v>-4.8188808650835302E-2</v>
      </c>
      <c r="AL4" s="285">
        <f t="shared" ref="AL4:AL54" si="18">IFERROR(AJ4/X4-1,)</f>
        <v>0.293093936409214</v>
      </c>
      <c r="AM4" s="135">
        <f>SUM(AM5:AM13)</f>
        <v>92337.833576999998</v>
      </c>
      <c r="AN4" s="284">
        <f>IFERROR(AM4/AJ4-1,0)</f>
        <v>5.3266871594110476E-2</v>
      </c>
      <c r="AO4" s="285">
        <f t="shared" ref="AO4:AO54" si="19">IFERROR(AM4/AA4-1,)</f>
        <v>0.3498596711224311</v>
      </c>
      <c r="AP4" s="135">
        <f>SUM(AP5:AP13)</f>
        <v>73140.020852000001</v>
      </c>
      <c r="AQ4" s="284">
        <f>IFERROR(AP4/AM4-1,0)</f>
        <v>-0.20790841609892274</v>
      </c>
      <c r="AR4" s="286">
        <f t="shared" ref="AR4:AR54" si="20">IFERROR(AP4/AD4-1,)</f>
        <v>-0.11892643763159083</v>
      </c>
      <c r="AS4" s="495">
        <f>SUM(AS5:AS13)</f>
        <v>92715.110526999983</v>
      </c>
      <c r="AT4" s="284">
        <f>IFERROR(AS4/AP4-1,0)</f>
        <v>0.26763855748155296</v>
      </c>
      <c r="AU4" s="285">
        <f t="shared" ref="AU4:AU16" si="21">IFERROR(AS4/AG4-1,)</f>
        <v>6.6072889966766191E-3</v>
      </c>
      <c r="AV4" s="135">
        <f>SUM(AV5:AV13)</f>
        <v>101291.63701799999</v>
      </c>
      <c r="AW4" s="284">
        <f>IFERROR(AV4/AS4-1,0)</f>
        <v>9.2504085280709525E-2</v>
      </c>
      <c r="AX4" s="285">
        <f t="shared" ref="AX4:AX16" si="22">IFERROR(AV4/AJ4-1,)</f>
        <v>0.15539992122112389</v>
      </c>
      <c r="AY4" s="135">
        <f>SUM(AY5:AY13)</f>
        <v>123516.094105</v>
      </c>
      <c r="AZ4" s="284">
        <f>IFERROR(AY4/AV4-1,0)</f>
        <v>0.21941058256419144</v>
      </c>
      <c r="BA4" s="285">
        <f t="shared" ref="BA4:BA16" si="23">IFERROR(AY4/AM4-1,)</f>
        <v>0.33765423467511413</v>
      </c>
      <c r="BB4" s="135">
        <f>SUM(BB5:BB13)</f>
        <v>147788.69051699998</v>
      </c>
      <c r="BC4" s="284">
        <f>IFERROR(BB4/AY4-1,0)</f>
        <v>0.19651363320609905</v>
      </c>
      <c r="BD4" s="286">
        <f t="shared" ref="BD4:BD16" si="24">IFERROR(BB4/AP4-1,)</f>
        <v>1.0206268578464415</v>
      </c>
      <c r="BE4" s="464">
        <f>SUM(BE5:BE13)</f>
        <v>168588.54518099999</v>
      </c>
      <c r="BF4" s="284">
        <f>IFERROR(BE4/BB4-1,0)</f>
        <v>0.14074050315512765</v>
      </c>
      <c r="BG4" s="285">
        <f t="shared" si="0"/>
        <v>0.81835025836381403</v>
      </c>
      <c r="BH4" s="465">
        <f>SUM(BH5:BH13)</f>
        <v>171307.52366199996</v>
      </c>
      <c r="BI4" s="284">
        <f>IFERROR(BH4/BE4-1,0)</f>
        <v>1.6127895748081933E-2</v>
      </c>
      <c r="BJ4" s="285">
        <f t="shared" si="1"/>
        <v>0.69123067515986358</v>
      </c>
      <c r="BK4" s="465">
        <f>SUM(BK5:BK13)</f>
        <v>174594.21920999995</v>
      </c>
      <c r="BL4" s="284">
        <f>IFERROR(BK4/BH4-1,0)</f>
        <v>1.9185938117258772E-2</v>
      </c>
      <c r="BM4" s="285">
        <f t="shared" si="2"/>
        <v>0.41353416714731006</v>
      </c>
      <c r="BN4" s="465">
        <f>SUM(BN5:BN13)</f>
        <v>185737.48307700001</v>
      </c>
      <c r="BO4" s="284">
        <f>IFERROR(BN4/BK4-1,0)</f>
        <v>6.382378475885897E-2</v>
      </c>
      <c r="BP4" s="286">
        <f t="shared" si="3"/>
        <v>0.25677737875101347</v>
      </c>
      <c r="BQ4" s="464">
        <f>SUM(BQ5:BQ13)</f>
        <v>212555.72948299997</v>
      </c>
      <c r="BR4" s="284">
        <f>IFERROR(BQ4/BN4-1,0)</f>
        <v>0.14438790685497827</v>
      </c>
      <c r="BS4" s="285">
        <f t="shared" ref="BS4:BS54" si="25">IFERROR(BQ4/BE4-1,)</f>
        <v>0.26079579875842662</v>
      </c>
      <c r="BT4" s="465">
        <f>SUM(BT5:BT13)</f>
        <v>187148.80076900005</v>
      </c>
      <c r="BU4" s="284">
        <f>IFERROR(BT4/BQ4-1,0)</f>
        <v>-0.11953066979562155</v>
      </c>
      <c r="BV4" s="285">
        <f t="shared" ref="BV4:BV54" si="26">IFERROR(BT4/BH4-1,)</f>
        <v>9.2472745903769304E-2</v>
      </c>
      <c r="BW4" s="465">
        <f>SUM(BW5:BW13)</f>
        <v>202195.670771</v>
      </c>
      <c r="BX4" s="284">
        <f>IFERROR(BW4/BT4-1,0)</f>
        <v>8.0400568639349634E-2</v>
      </c>
      <c r="BY4" s="285">
        <f t="shared" ref="BY4:BY54" si="27">IFERROR(BW4/BK4-1,)</f>
        <v>0.15808914914760908</v>
      </c>
      <c r="BZ4" s="465">
        <f>SUM(BZ5:BZ13)</f>
        <v>234201.82322299996</v>
      </c>
      <c r="CA4" s="284">
        <f>IFERROR(BZ4/BW4-1,0)</f>
        <v>0.15829296606577214</v>
      </c>
      <c r="CB4" s="286">
        <f t="shared" ref="CB4:CB54" si="28">IFERROR(BZ4/BN4-1,)</f>
        <v>0.26092923917736299</v>
      </c>
      <c r="CC4" s="464">
        <f>SUM(CC5:CC13)</f>
        <v>254231.78</v>
      </c>
      <c r="CD4" s="284">
        <f>IFERROR(CC4/BZ4-1,0)</f>
        <v>8.5524341789295688E-2</v>
      </c>
      <c r="CE4" s="285">
        <f t="shared" ref="CE4:CE34" si="29">IFERROR(CC4/BQ4-1,)</f>
        <v>0.19607116975095806</v>
      </c>
      <c r="CF4" s="465">
        <f>SUM(CF5:CF13)</f>
        <v>248438.39016899999</v>
      </c>
      <c r="CG4" s="284">
        <f t="shared" ref="CG4:CG70" si="30">IFERROR(CF4/CC4-1,0)</f>
        <v>-2.2787827041135467E-2</v>
      </c>
      <c r="CH4" s="285">
        <f t="shared" ref="CH4:CH70" si="31">IFERROR(CF4/BT4-1,)</f>
        <v>0.3274912216811392</v>
      </c>
      <c r="CI4" s="465">
        <f>SUM(CI5:CI13)</f>
        <v>272370.07779499993</v>
      </c>
      <c r="CJ4" s="284">
        <f t="shared" ref="CJ4:CJ54" si="32">IFERROR(CI4/CF4-1,0)</f>
        <v>9.6328460386981396E-2</v>
      </c>
      <c r="CK4" s="285">
        <f t="shared" ref="CK4:CK54" si="33">IFERROR(CI4/BW4-1,)</f>
        <v>0.34706186713303611</v>
      </c>
      <c r="CL4" s="465">
        <f>SUM(CL5:CL13)</f>
        <v>295771.89999999997</v>
      </c>
      <c r="CM4" s="284">
        <f t="shared" ref="CM4:CM54" si="34">IFERROR(CL4/CI4-1,0)</f>
        <v>8.5919211076531887E-2</v>
      </c>
      <c r="CN4" s="285">
        <f t="shared" ref="CN4:CN54" si="35">IFERROR(CL4/BZ4-1,)</f>
        <v>0.2628932428009958</v>
      </c>
      <c r="CO4" s="464">
        <f>SUM(CO5:CO14)</f>
        <v>362656.31000000006</v>
      </c>
      <c r="CP4" s="284">
        <f>IFERROR(CO4/CL4-1,0)</f>
        <v>0.22613510614091492</v>
      </c>
      <c r="CQ4" s="285">
        <f t="shared" ref="CQ4:CQ8" si="36">IFERROR(CO4/CC4-1,)</f>
        <v>0.42647905781094742</v>
      </c>
      <c r="CR4" s="464">
        <f>SUM(CR5:CR14)</f>
        <v>317722.76847700001</v>
      </c>
      <c r="CS4" s="284">
        <f t="shared" ref="CS4:CS54" si="37">IFERROR(CR4/CO4-1,0)</f>
        <v>-0.12390117111984078</v>
      </c>
      <c r="CT4" s="285">
        <f t="shared" ref="CT4:CT54" si="38">IFERROR(CR4/CF4-1,)</f>
        <v>0.27887951721498982</v>
      </c>
      <c r="CU4" s="464">
        <f>SUM(CU5:CU14)</f>
        <v>0</v>
      </c>
      <c r="CV4" s="284">
        <f t="shared" ref="CV4:CV54" si="39">IFERROR(CU4/CR4-1,0)</f>
        <v>-1</v>
      </c>
      <c r="CW4" s="285">
        <f t="shared" ref="CW4:CW54" si="40">IFERROR(CU4/CI4-1,)</f>
        <v>-1</v>
      </c>
      <c r="CX4" s="464">
        <f>SUM(CX5:CX14)</f>
        <v>0</v>
      </c>
      <c r="CY4" s="284">
        <f t="shared" ref="CY4:CY54" si="41">IFERROR(CX4/CU4-1,0)</f>
        <v>0</v>
      </c>
      <c r="CZ4" s="285">
        <f t="shared" ref="CZ4:CZ54" si="42">IFERROR(CX4/CL4-1,)</f>
        <v>-1</v>
      </c>
    </row>
    <row r="5" spans="1:104" ht="16.2" customHeight="1">
      <c r="A5" s="141">
        <f t="shared" si="4"/>
        <v>4</v>
      </c>
      <c r="B5" s="937">
        <v>1</v>
      </c>
      <c r="C5" s="24" t="s">
        <v>118</v>
      </c>
      <c r="D5" s="636" t="s">
        <v>199</v>
      </c>
      <c r="E5" s="486">
        <v>21621.432669999998</v>
      </c>
      <c r="F5" s="487">
        <v>12667.620714999999</v>
      </c>
      <c r="G5" s="487">
        <v>14243.873997999999</v>
      </c>
      <c r="H5" s="487">
        <v>10471.172528999999</v>
      </c>
      <c r="I5" s="496">
        <v>15976.22969</v>
      </c>
      <c r="J5" s="287">
        <f t="shared" si="5"/>
        <v>0.52573454842365552</v>
      </c>
      <c r="K5" s="288">
        <f t="shared" si="6"/>
        <v>-0.26109291951928726</v>
      </c>
      <c r="L5" s="134">
        <v>21910.493371</v>
      </c>
      <c r="M5" s="287">
        <f t="shared" si="7"/>
        <v>0.37144331273068976</v>
      </c>
      <c r="N5" s="288">
        <f t="shared" si="8"/>
        <v>0.72964551622984097</v>
      </c>
      <c r="O5" s="134">
        <v>25418.907330999999</v>
      </c>
      <c r="P5" s="287">
        <f t="shared" si="9"/>
        <v>0.16012482697644859</v>
      </c>
      <c r="Q5" s="288">
        <f t="shared" si="10"/>
        <v>0.78455013955958197</v>
      </c>
      <c r="R5" s="134">
        <v>33976.505980000002</v>
      </c>
      <c r="S5" s="287">
        <f t="shared" si="11"/>
        <v>0.33666272659027552</v>
      </c>
      <c r="T5" s="289">
        <f t="shared" si="12"/>
        <v>2.2447661315771263</v>
      </c>
      <c r="U5" s="496">
        <v>42632.482932999999</v>
      </c>
      <c r="V5" s="287">
        <f t="shared" ref="V5:V13" si="43">(IFERROR(U5/R5-1,0))</f>
        <v>0.25476359923811076</v>
      </c>
      <c r="W5" s="288">
        <f t="shared" si="13"/>
        <v>1.6684946173304547</v>
      </c>
      <c r="X5" s="134">
        <v>40612.368906000003</v>
      </c>
      <c r="Y5" s="287">
        <f t="shared" ref="Y5:Y13" si="44">(IFERROR(X5/U5-1,0))</f>
        <v>-4.7384385989780342E-2</v>
      </c>
      <c r="Z5" s="288">
        <f t="shared" si="14"/>
        <v>0.85355793766621346</v>
      </c>
      <c r="AA5" s="134">
        <v>49343.279583000003</v>
      </c>
      <c r="AB5" s="287">
        <f t="shared" ref="AB5:AB13" si="45">(IFERROR(AA5/X5-1,0))</f>
        <v>0.21498156626145759</v>
      </c>
      <c r="AC5" s="288">
        <f t="shared" si="15"/>
        <v>0.94120380315571972</v>
      </c>
      <c r="AD5" s="134">
        <v>64383.495927999997</v>
      </c>
      <c r="AE5" s="287">
        <f t="shared" ref="AE5:AE13" si="46">(IFERROR(AD5/AA5-1,0))</f>
        <v>0.30480779697062799</v>
      </c>
      <c r="AF5" s="289">
        <f t="shared" si="16"/>
        <v>0.89494163896366574</v>
      </c>
      <c r="AG5" s="496">
        <v>66851.909599000006</v>
      </c>
      <c r="AH5" s="287">
        <f t="shared" ref="AH5:AH13" si="47">(IFERROR(AG5/AD5-1,0))</f>
        <v>3.8339230192787843E-2</v>
      </c>
      <c r="AI5" s="288">
        <f t="shared" si="17"/>
        <v>0.56809796192407025</v>
      </c>
      <c r="AJ5" s="134">
        <v>62265.016994999998</v>
      </c>
      <c r="AK5" s="287">
        <f t="shared" ref="AK5:AK13" si="48">(IFERROR(AJ5/AG5-1,0))</f>
        <v>-6.8612738686354868E-2</v>
      </c>
      <c r="AL5" s="288">
        <f t="shared" si="18"/>
        <v>0.5331540284960099</v>
      </c>
      <c r="AM5" s="134">
        <v>60804.331588000001</v>
      </c>
      <c r="AN5" s="287">
        <f t="shared" ref="AN5:AN13" si="49">(IFERROR(AM5/AJ5-1,0))</f>
        <v>-2.3459166599397063E-2</v>
      </c>
      <c r="AO5" s="288">
        <f t="shared" si="19"/>
        <v>0.232271792670802</v>
      </c>
      <c r="AP5" s="134">
        <v>42788.254095999997</v>
      </c>
      <c r="AQ5" s="287">
        <f t="shared" ref="AQ5:AQ13" si="50">(IFERROR(AP5/AM5-1,0))</f>
        <v>-0.29629595493416383</v>
      </c>
      <c r="AR5" s="289">
        <f t="shared" si="20"/>
        <v>-0.33541580059818343</v>
      </c>
      <c r="AS5" s="496">
        <v>57476.614688000001</v>
      </c>
      <c r="AT5" s="287">
        <f t="shared" ref="AT5:AT13" si="51">(IFERROR(AS5/AP5-1,0))</f>
        <v>0.34328020393272185</v>
      </c>
      <c r="AU5" s="288">
        <f t="shared" si="21"/>
        <v>-0.14023974733461086</v>
      </c>
      <c r="AV5" s="134">
        <v>48044.219129999998</v>
      </c>
      <c r="AW5" s="287">
        <f t="shared" ref="AW5:AW13" si="52">(IFERROR(AV5/AS5-1,0))</f>
        <v>-0.16410840494350309</v>
      </c>
      <c r="AX5" s="288">
        <f t="shared" si="22"/>
        <v>-0.22839145560888485</v>
      </c>
      <c r="AY5" s="134">
        <v>66668.390455000001</v>
      </c>
      <c r="AZ5" s="287">
        <f t="shared" ref="AZ5:AZ13" si="53">(IFERROR(AY5/AV5-1,0))</f>
        <v>0.38764645699841571</v>
      </c>
      <c r="BA5" s="288">
        <f t="shared" si="23"/>
        <v>9.6441465827367123E-2</v>
      </c>
      <c r="BB5" s="134">
        <v>26004.48544</v>
      </c>
      <c r="BC5" s="287">
        <f t="shared" ref="BC5:BC13" si="54">(IFERROR(BB5/AY5-1,0))</f>
        <v>-0.60994280404065593</v>
      </c>
      <c r="BD5" s="289">
        <f t="shared" si="24"/>
        <v>-0.39225177588091875</v>
      </c>
      <c r="BE5" s="466">
        <v>13182.789149</v>
      </c>
      <c r="BF5" s="287">
        <f t="shared" ref="BF5:BF13" si="55">(IFERROR(BE5/BB5-1,0))</f>
        <v>-0.49305710434391892</v>
      </c>
      <c r="BG5" s="288">
        <f t="shared" si="0"/>
        <v>-0.77064082113116672</v>
      </c>
      <c r="BH5" s="467">
        <v>10083.952676000001</v>
      </c>
      <c r="BI5" s="287">
        <f t="shared" ref="BI5:BI13" si="56">(IFERROR(BH5/BE5-1,0))</f>
        <v>-0.23506683130368256</v>
      </c>
      <c r="BJ5" s="288">
        <f t="shared" si="1"/>
        <v>-0.79011100901204301</v>
      </c>
      <c r="BK5" s="467">
        <v>6940.6655010000004</v>
      </c>
      <c r="BL5" s="287">
        <f t="shared" ref="BL5:BL13" si="57">(IFERROR(BK5/BH5-1,0))</f>
        <v>-0.31171181341232235</v>
      </c>
      <c r="BM5" s="288">
        <f t="shared" si="2"/>
        <v>-0.89589270936899501</v>
      </c>
      <c r="BN5" s="467">
        <v>18336.205417000001</v>
      </c>
      <c r="BO5" s="287">
        <f t="shared" ref="BO5:BO13" si="58">(IFERROR(BN5/BK5-1,0))</f>
        <v>1.6418511905462307</v>
      </c>
      <c r="BP5" s="289">
        <f t="shared" si="3"/>
        <v>-0.29488297473499248</v>
      </c>
      <c r="BQ5" s="466">
        <v>50606.434802000003</v>
      </c>
      <c r="BR5" s="287">
        <f t="shared" ref="BR5:BR13" si="59">(IFERROR(BQ5/BN5-1,0))</f>
        <v>1.7599186228073878</v>
      </c>
      <c r="BS5" s="288">
        <f t="shared" si="25"/>
        <v>2.8388260807341235</v>
      </c>
      <c r="BT5" s="467">
        <v>24273.216864000002</v>
      </c>
      <c r="BU5" s="287">
        <f t="shared" ref="BU5:BU13" si="60">(IFERROR(BT5/BQ5-1,0))</f>
        <v>-0.52035315352741063</v>
      </c>
      <c r="BV5" s="288">
        <f t="shared" si="26"/>
        <v>1.4071133258856636</v>
      </c>
      <c r="BW5" s="467">
        <v>3190.0688980000004</v>
      </c>
      <c r="BX5" s="287">
        <f t="shared" ref="BX5:BX13" si="61">(IFERROR(BW5/BT5-1,0))</f>
        <v>-0.86857659139810006</v>
      </c>
      <c r="BY5" s="288">
        <f t="shared" si="27"/>
        <v>-0.54037996824074286</v>
      </c>
      <c r="BZ5" s="467">
        <v>22745.070820000001</v>
      </c>
      <c r="CA5" s="287">
        <f t="shared" ref="CA5:CA13" si="62">(IFERROR(BZ5/BW5-1,0))</f>
        <v>6.1299622507400775</v>
      </c>
      <c r="CB5" s="289">
        <f t="shared" si="28"/>
        <v>0.24044589939597971</v>
      </c>
      <c r="CC5" s="466">
        <v>39226</v>
      </c>
      <c r="CD5" s="287">
        <f t="shared" ref="CD5:CD14" si="63">(IFERROR(CC5/BZ5-1,0))</f>
        <v>0.72459344314321195</v>
      </c>
      <c r="CE5" s="288">
        <f t="shared" si="29"/>
        <v>-0.22488118055592088</v>
      </c>
      <c r="CF5" s="467">
        <v>55374.676501000002</v>
      </c>
      <c r="CG5" s="287">
        <f t="shared" si="30"/>
        <v>0.41168297815224597</v>
      </c>
      <c r="CH5" s="288">
        <f t="shared" si="31"/>
        <v>1.2813076985740226</v>
      </c>
      <c r="CI5" s="467">
        <v>35149.509143000003</v>
      </c>
      <c r="CJ5" s="287">
        <f t="shared" si="32"/>
        <v>-0.36524217631564415</v>
      </c>
      <c r="CK5" s="288">
        <f t="shared" si="33"/>
        <v>10.018416926680434</v>
      </c>
      <c r="CL5" s="29">
        <v>37521</v>
      </c>
      <c r="CM5" s="287">
        <f t="shared" si="34"/>
        <v>6.746867637189391E-2</v>
      </c>
      <c r="CN5" s="288">
        <f t="shared" si="35"/>
        <v>0.64963214653995949</v>
      </c>
      <c r="CO5" s="466">
        <v>102097.874</v>
      </c>
      <c r="CP5" s="287">
        <f t="shared" ref="CP5:CP8" si="64">(IFERROR(CO5/CL5-1,0))</f>
        <v>1.7210861650808877</v>
      </c>
      <c r="CQ5" s="288">
        <f t="shared" si="36"/>
        <v>1.6028112476418701</v>
      </c>
      <c r="CR5" s="466">
        <v>78701.332028999997</v>
      </c>
      <c r="CS5" s="287">
        <f t="shared" si="37"/>
        <v>-0.22915797415135208</v>
      </c>
      <c r="CT5" s="288">
        <f t="shared" si="38"/>
        <v>0.42125131923034798</v>
      </c>
      <c r="CU5" s="466">
        <v>0</v>
      </c>
      <c r="CV5" s="287">
        <f t="shared" si="39"/>
        <v>-1</v>
      </c>
      <c r="CW5" s="288">
        <f t="shared" si="40"/>
        <v>-1</v>
      </c>
      <c r="CX5" s="466">
        <v>0</v>
      </c>
      <c r="CY5" s="287">
        <f t="shared" si="41"/>
        <v>0</v>
      </c>
      <c r="CZ5" s="288">
        <f t="shared" si="42"/>
        <v>-1</v>
      </c>
    </row>
    <row r="6" spans="1:104" ht="16.2" customHeight="1">
      <c r="A6" s="141">
        <f t="shared" si="4"/>
        <v>5</v>
      </c>
      <c r="B6" s="937">
        <v>1</v>
      </c>
      <c r="C6" s="24" t="s">
        <v>119</v>
      </c>
      <c r="D6" s="636" t="s">
        <v>73</v>
      </c>
      <c r="E6" s="486">
        <v>203.91583299999999</v>
      </c>
      <c r="F6" s="487">
        <v>11000</v>
      </c>
      <c r="G6" s="487">
        <v>6000</v>
      </c>
      <c r="H6" s="487">
        <v>6000</v>
      </c>
      <c r="I6" s="496">
        <v>6000</v>
      </c>
      <c r="J6" s="287">
        <f t="shared" si="5"/>
        <v>0</v>
      </c>
      <c r="K6" s="288">
        <f t="shared" si="6"/>
        <v>28.423904518488275</v>
      </c>
      <c r="L6" s="134" t="s">
        <v>3</v>
      </c>
      <c r="M6" s="287">
        <f t="shared" si="7"/>
        <v>0</v>
      </c>
      <c r="N6" s="288">
        <f t="shared" si="8"/>
        <v>0</v>
      </c>
      <c r="O6" s="134">
        <v>4000</v>
      </c>
      <c r="P6" s="287">
        <f t="shared" si="9"/>
        <v>0</v>
      </c>
      <c r="Q6" s="288">
        <f t="shared" si="10"/>
        <v>-0.33333333333333337</v>
      </c>
      <c r="R6" s="134">
        <v>7000</v>
      </c>
      <c r="S6" s="287">
        <f t="shared" si="11"/>
        <v>0.75</v>
      </c>
      <c r="T6" s="289">
        <f t="shared" si="12"/>
        <v>0.16666666666666674</v>
      </c>
      <c r="U6" s="496">
        <v>7000</v>
      </c>
      <c r="V6" s="287">
        <f t="shared" si="43"/>
        <v>0</v>
      </c>
      <c r="W6" s="288">
        <f t="shared" si="13"/>
        <v>0.16666666666666674</v>
      </c>
      <c r="X6" s="134">
        <v>7240.7064639999999</v>
      </c>
      <c r="Y6" s="287">
        <f t="shared" si="44"/>
        <v>3.4386637714285628E-2</v>
      </c>
      <c r="Z6" s="288">
        <f t="shared" si="14"/>
        <v>0</v>
      </c>
      <c r="AA6" s="134">
        <v>3240.7064639999999</v>
      </c>
      <c r="AB6" s="287">
        <f t="shared" si="45"/>
        <v>-0.55243228266296418</v>
      </c>
      <c r="AC6" s="288">
        <f t="shared" si="15"/>
        <v>-0.18982338399999998</v>
      </c>
      <c r="AD6" s="134">
        <v>3240.7064639999999</v>
      </c>
      <c r="AE6" s="287">
        <f t="shared" si="46"/>
        <v>0</v>
      </c>
      <c r="AF6" s="289">
        <f t="shared" si="16"/>
        <v>-0.53704193371428577</v>
      </c>
      <c r="AG6" s="496">
        <v>3240.7064639999999</v>
      </c>
      <c r="AH6" s="287">
        <f t="shared" si="47"/>
        <v>0</v>
      </c>
      <c r="AI6" s="288">
        <f t="shared" si="17"/>
        <v>-0.53704193371428577</v>
      </c>
      <c r="AJ6" s="134">
        <v>3240.7064639999999</v>
      </c>
      <c r="AK6" s="287">
        <f t="shared" si="48"/>
        <v>0</v>
      </c>
      <c r="AL6" s="288">
        <f t="shared" si="18"/>
        <v>-0.55243228266296418</v>
      </c>
      <c r="AM6" s="134">
        <v>3240.7064639999999</v>
      </c>
      <c r="AN6" s="287">
        <f t="shared" si="49"/>
        <v>0</v>
      </c>
      <c r="AO6" s="288">
        <f t="shared" si="19"/>
        <v>0</v>
      </c>
      <c r="AP6" s="134">
        <v>0</v>
      </c>
      <c r="AQ6" s="287">
        <f t="shared" si="50"/>
        <v>-1</v>
      </c>
      <c r="AR6" s="289">
        <f t="shared" si="20"/>
        <v>-1</v>
      </c>
      <c r="AS6" s="496">
        <v>0</v>
      </c>
      <c r="AT6" s="287">
        <f t="shared" si="51"/>
        <v>0</v>
      </c>
      <c r="AU6" s="288">
        <f t="shared" si="21"/>
        <v>-1</v>
      </c>
      <c r="AV6" s="134">
        <v>20000</v>
      </c>
      <c r="AW6" s="287">
        <f t="shared" si="52"/>
        <v>0</v>
      </c>
      <c r="AX6" s="288">
        <f t="shared" si="22"/>
        <v>5.1714938462257471</v>
      </c>
      <c r="AY6" s="134">
        <v>18315.285199999998</v>
      </c>
      <c r="AZ6" s="287">
        <f t="shared" si="53"/>
        <v>-8.4235740000000114E-2</v>
      </c>
      <c r="BA6" s="288">
        <f t="shared" si="23"/>
        <v>4.651633495183475</v>
      </c>
      <c r="BB6" s="134">
        <v>65377.445899999999</v>
      </c>
      <c r="BC6" s="287">
        <f t="shared" si="54"/>
        <v>2.5695565308477972</v>
      </c>
      <c r="BD6" s="289">
        <f t="shared" si="24"/>
        <v>0</v>
      </c>
      <c r="BE6" s="466">
        <v>95521.045899999997</v>
      </c>
      <c r="BF6" s="287">
        <f t="shared" si="55"/>
        <v>0.46107032150058336</v>
      </c>
      <c r="BG6" s="288">
        <f t="shared" si="0"/>
        <v>0</v>
      </c>
      <c r="BH6" s="467">
        <v>96079.045899999997</v>
      </c>
      <c r="BI6" s="287">
        <f t="shared" si="56"/>
        <v>5.8416445793962879E-3</v>
      </c>
      <c r="BJ6" s="288">
        <f t="shared" si="1"/>
        <v>3.8039522950000002</v>
      </c>
      <c r="BK6" s="467">
        <v>88135.269899999999</v>
      </c>
      <c r="BL6" s="287">
        <f t="shared" si="57"/>
        <v>-8.2679588723934216E-2</v>
      </c>
      <c r="BM6" s="288">
        <f t="shared" si="2"/>
        <v>3.8121156147762312</v>
      </c>
      <c r="BN6" s="467">
        <v>90365.422000000006</v>
      </c>
      <c r="BO6" s="287">
        <f t="shared" si="58"/>
        <v>2.5303741652239475E-2</v>
      </c>
      <c r="BP6" s="289">
        <f t="shared" si="3"/>
        <v>0.38221095602635047</v>
      </c>
      <c r="BQ6" s="466">
        <v>78221.822</v>
      </c>
      <c r="BR6" s="287">
        <f t="shared" si="59"/>
        <v>-0.13438326000403122</v>
      </c>
      <c r="BS6" s="288">
        <f t="shared" si="25"/>
        <v>-0.18110379484444061</v>
      </c>
      <c r="BT6" s="467">
        <v>80681.022000000012</v>
      </c>
      <c r="BU6" s="287">
        <f t="shared" si="60"/>
        <v>3.1438797219528025E-2</v>
      </c>
      <c r="BV6" s="288">
        <f t="shared" si="26"/>
        <v>-0.16026412164861004</v>
      </c>
      <c r="BW6" s="467">
        <v>76644.222000000009</v>
      </c>
      <c r="BX6" s="287">
        <f t="shared" si="61"/>
        <v>-5.0034071209459907E-2</v>
      </c>
      <c r="BY6" s="288">
        <f t="shared" si="27"/>
        <v>-0.13037967561724106</v>
      </c>
      <c r="BZ6" s="467">
        <v>135296.36077599999</v>
      </c>
      <c r="CA6" s="287">
        <f t="shared" si="62"/>
        <v>0.76525192957141597</v>
      </c>
      <c r="CB6" s="289">
        <f t="shared" si="28"/>
        <v>0.49721384332161889</v>
      </c>
      <c r="CC6" s="466">
        <v>135164</v>
      </c>
      <c r="CD6" s="287">
        <f t="shared" si="63"/>
        <v>-9.7830255921760312E-4</v>
      </c>
      <c r="CE6" s="288">
        <f t="shared" si="29"/>
        <v>0.72795770469268795</v>
      </c>
      <c r="CF6" s="467">
        <v>103778.622</v>
      </c>
      <c r="CG6" s="287">
        <f t="shared" si="30"/>
        <v>-0.2322021988103341</v>
      </c>
      <c r="CH6" s="288">
        <f t="shared" si="31"/>
        <v>0.286282937764472</v>
      </c>
      <c r="CI6" s="467">
        <v>136435.022</v>
      </c>
      <c r="CJ6" s="287">
        <f t="shared" si="32"/>
        <v>0.31467367142338798</v>
      </c>
      <c r="CK6" s="288">
        <f t="shared" si="33"/>
        <v>0.78010838181643982</v>
      </c>
      <c r="CL6" s="29">
        <v>169526</v>
      </c>
      <c r="CM6" s="287">
        <f t="shared" si="34"/>
        <v>0.24254020349701699</v>
      </c>
      <c r="CN6" s="288">
        <f t="shared" si="35"/>
        <v>0.25299748661142085</v>
      </c>
      <c r="CO6" s="466">
        <v>78672.179000000004</v>
      </c>
      <c r="CP6" s="287">
        <f t="shared" si="64"/>
        <v>-0.53592853603577029</v>
      </c>
      <c r="CQ6" s="288">
        <f t="shared" si="36"/>
        <v>-0.41795020123701576</v>
      </c>
      <c r="CR6" s="466">
        <v>56461.093578</v>
      </c>
      <c r="CS6" s="287">
        <f t="shared" si="37"/>
        <v>-0.28232452315830736</v>
      </c>
      <c r="CT6" s="288">
        <f t="shared" si="38"/>
        <v>-0.45594677892331237</v>
      </c>
      <c r="CU6" s="466">
        <v>0</v>
      </c>
      <c r="CV6" s="287">
        <f t="shared" si="39"/>
        <v>-1</v>
      </c>
      <c r="CW6" s="288">
        <f t="shared" si="40"/>
        <v>-1</v>
      </c>
      <c r="CX6" s="466">
        <v>0</v>
      </c>
      <c r="CY6" s="287">
        <f t="shared" si="41"/>
        <v>0</v>
      </c>
      <c r="CZ6" s="288">
        <f t="shared" si="42"/>
        <v>-1</v>
      </c>
    </row>
    <row r="7" spans="1:104" ht="16.2" customHeight="1">
      <c r="A7" s="141">
        <f t="shared" si="4"/>
        <v>6</v>
      </c>
      <c r="B7" s="937">
        <v>1</v>
      </c>
      <c r="C7" s="24" t="s">
        <v>120</v>
      </c>
      <c r="D7" s="636" t="s">
        <v>200</v>
      </c>
      <c r="E7" s="486" t="s">
        <v>113</v>
      </c>
      <c r="F7" s="487" t="s">
        <v>113</v>
      </c>
      <c r="G7" s="487" t="s">
        <v>113</v>
      </c>
      <c r="H7" s="487" t="s">
        <v>113</v>
      </c>
      <c r="I7" s="496" t="s">
        <v>3</v>
      </c>
      <c r="J7" s="287">
        <f t="shared" si="5"/>
        <v>0</v>
      </c>
      <c r="K7" s="288">
        <f t="shared" si="6"/>
        <v>0</v>
      </c>
      <c r="L7" s="134" t="s">
        <v>3</v>
      </c>
      <c r="M7" s="287">
        <f t="shared" si="7"/>
        <v>0</v>
      </c>
      <c r="N7" s="288">
        <f t="shared" si="8"/>
        <v>0</v>
      </c>
      <c r="O7" s="134">
        <v>4002.3541150000001</v>
      </c>
      <c r="P7" s="287">
        <f t="shared" si="9"/>
        <v>0</v>
      </c>
      <c r="Q7" s="288">
        <f t="shared" si="10"/>
        <v>0</v>
      </c>
      <c r="R7" s="134">
        <v>4047.4812969999998</v>
      </c>
      <c r="S7" s="287">
        <f t="shared" si="11"/>
        <v>1.1275159744329466E-2</v>
      </c>
      <c r="T7" s="289">
        <f t="shared" si="12"/>
        <v>0</v>
      </c>
      <c r="U7" s="496">
        <v>4014.842893</v>
      </c>
      <c r="V7" s="287">
        <f t="shared" si="43"/>
        <v>-8.0638801281655015E-3</v>
      </c>
      <c r="W7" s="288">
        <f t="shared" si="13"/>
        <v>0</v>
      </c>
      <c r="X7" s="134">
        <v>4072.4588530000001</v>
      </c>
      <c r="Y7" s="287">
        <f t="shared" si="44"/>
        <v>1.4350738381433414E-2</v>
      </c>
      <c r="Z7" s="288">
        <f t="shared" si="14"/>
        <v>0</v>
      </c>
      <c r="AA7" s="134">
        <v>0</v>
      </c>
      <c r="AB7" s="287">
        <f t="shared" si="45"/>
        <v>-1</v>
      </c>
      <c r="AC7" s="288">
        <f t="shared" si="15"/>
        <v>-1</v>
      </c>
      <c r="AD7" s="134">
        <v>0</v>
      </c>
      <c r="AE7" s="287">
        <f t="shared" si="46"/>
        <v>0</v>
      </c>
      <c r="AF7" s="289">
        <f t="shared" si="16"/>
        <v>-1</v>
      </c>
      <c r="AG7" s="496">
        <v>4962.1186070000003</v>
      </c>
      <c r="AH7" s="287">
        <f t="shared" si="47"/>
        <v>0</v>
      </c>
      <c r="AI7" s="288">
        <f t="shared" si="17"/>
        <v>0.23594340781095169</v>
      </c>
      <c r="AJ7" s="134">
        <v>5003.6268540000001</v>
      </c>
      <c r="AK7" s="287">
        <f t="shared" si="48"/>
        <v>8.3650251611164794E-3</v>
      </c>
      <c r="AL7" s="288">
        <f t="shared" si="18"/>
        <v>0.22865006980096303</v>
      </c>
      <c r="AM7" s="134">
        <v>5176.1275990000004</v>
      </c>
      <c r="AN7" s="287">
        <f t="shared" si="49"/>
        <v>3.4475141738856907E-2</v>
      </c>
      <c r="AO7" s="288">
        <f t="shared" si="19"/>
        <v>0</v>
      </c>
      <c r="AP7" s="134">
        <v>5125.0814609999998</v>
      </c>
      <c r="AQ7" s="287">
        <f t="shared" si="50"/>
        <v>-9.8618391884045531E-3</v>
      </c>
      <c r="AR7" s="289">
        <f t="shared" si="20"/>
        <v>0</v>
      </c>
      <c r="AS7" s="496">
        <v>0</v>
      </c>
      <c r="AT7" s="287">
        <f t="shared" si="51"/>
        <v>-1</v>
      </c>
      <c r="AU7" s="288">
        <f t="shared" si="21"/>
        <v>-1</v>
      </c>
      <c r="AV7" s="134">
        <v>0</v>
      </c>
      <c r="AW7" s="287">
        <f t="shared" si="52"/>
        <v>0</v>
      </c>
      <c r="AX7" s="288">
        <f t="shared" si="22"/>
        <v>-1</v>
      </c>
      <c r="AY7" s="134">
        <v>0</v>
      </c>
      <c r="AZ7" s="287">
        <f t="shared" si="53"/>
        <v>0</v>
      </c>
      <c r="BA7" s="288">
        <f t="shared" si="23"/>
        <v>-1</v>
      </c>
      <c r="BB7" s="134">
        <v>20198.635245000001</v>
      </c>
      <c r="BC7" s="287">
        <f t="shared" si="54"/>
        <v>0</v>
      </c>
      <c r="BD7" s="289">
        <f t="shared" si="24"/>
        <v>2.9411344773159698</v>
      </c>
      <c r="BE7" s="466">
        <v>20394.319912999999</v>
      </c>
      <c r="BF7" s="287">
        <f t="shared" si="55"/>
        <v>9.6880143448523359E-3</v>
      </c>
      <c r="BG7" s="288">
        <f t="shared" si="0"/>
        <v>0</v>
      </c>
      <c r="BH7" s="467">
        <v>24603.642097</v>
      </c>
      <c r="BI7" s="287">
        <f t="shared" si="56"/>
        <v>0.20639679096711827</v>
      </c>
      <c r="BJ7" s="288">
        <f t="shared" si="1"/>
        <v>0</v>
      </c>
      <c r="BK7" s="467">
        <v>27834.790327999999</v>
      </c>
      <c r="BL7" s="287">
        <f t="shared" si="57"/>
        <v>0.13132804559020883</v>
      </c>
      <c r="BM7" s="288">
        <f t="shared" si="2"/>
        <v>0</v>
      </c>
      <c r="BN7" s="467">
        <v>28155.177630999999</v>
      </c>
      <c r="BO7" s="287">
        <f t="shared" si="58"/>
        <v>1.1510318533914488E-2</v>
      </c>
      <c r="BP7" s="289">
        <f t="shared" si="3"/>
        <v>0.39391485065653487</v>
      </c>
      <c r="BQ7" s="466">
        <v>28428.606500999998</v>
      </c>
      <c r="BR7" s="287">
        <f t="shared" si="59"/>
        <v>9.7114951140973016E-3</v>
      </c>
      <c r="BS7" s="288">
        <f t="shared" si="25"/>
        <v>0.3939472668014139</v>
      </c>
      <c r="BT7" s="467">
        <v>28641.943885000001</v>
      </c>
      <c r="BU7" s="287">
        <f t="shared" si="60"/>
        <v>7.5043208323453126E-3</v>
      </c>
      <c r="BV7" s="288">
        <f t="shared" si="26"/>
        <v>0.16413430873685186</v>
      </c>
      <c r="BW7" s="467">
        <v>28395.869461999999</v>
      </c>
      <c r="BX7" s="287">
        <f t="shared" si="61"/>
        <v>-8.5914009184576701E-3</v>
      </c>
      <c r="BY7" s="288">
        <f t="shared" si="27"/>
        <v>2.0157476574759414E-2</v>
      </c>
      <c r="BZ7" s="134">
        <v>0</v>
      </c>
      <c r="CA7" s="287">
        <f t="shared" si="62"/>
        <v>-1</v>
      </c>
      <c r="CB7" s="289">
        <f t="shared" si="28"/>
        <v>-1</v>
      </c>
      <c r="CC7" s="496">
        <v>0</v>
      </c>
      <c r="CD7" s="287">
        <f t="shared" si="63"/>
        <v>0</v>
      </c>
      <c r="CE7" s="288">
        <f t="shared" si="29"/>
        <v>-1</v>
      </c>
      <c r="CF7" s="134">
        <v>0</v>
      </c>
      <c r="CG7" s="287">
        <f t="shared" si="30"/>
        <v>0</v>
      </c>
      <c r="CH7" s="288">
        <f t="shared" si="31"/>
        <v>-1</v>
      </c>
      <c r="CI7" s="134">
        <v>0</v>
      </c>
      <c r="CJ7" s="287">
        <f t="shared" si="32"/>
        <v>0</v>
      </c>
      <c r="CK7" s="288">
        <f t="shared" si="33"/>
        <v>-1</v>
      </c>
      <c r="CL7" s="29">
        <v>513.9</v>
      </c>
      <c r="CM7" s="287">
        <f t="shared" si="34"/>
        <v>0</v>
      </c>
      <c r="CN7" s="288">
        <f t="shared" si="35"/>
        <v>0</v>
      </c>
      <c r="CO7" s="496">
        <v>914.62900000000002</v>
      </c>
      <c r="CP7" s="287">
        <f t="shared" si="64"/>
        <v>0.77978011286242466</v>
      </c>
      <c r="CQ7" s="288">
        <f t="shared" si="36"/>
        <v>0</v>
      </c>
      <c r="CR7" s="496">
        <v>939.39763600000003</v>
      </c>
      <c r="CS7" s="287">
        <f t="shared" si="37"/>
        <v>2.7080527733102766E-2</v>
      </c>
      <c r="CT7" s="288">
        <f t="shared" si="38"/>
        <v>0</v>
      </c>
      <c r="CU7" s="496">
        <v>0</v>
      </c>
      <c r="CV7" s="287">
        <f t="shared" si="39"/>
        <v>-1</v>
      </c>
      <c r="CW7" s="288">
        <f t="shared" si="40"/>
        <v>0</v>
      </c>
      <c r="CX7" s="496">
        <v>0</v>
      </c>
      <c r="CY7" s="287">
        <f t="shared" si="41"/>
        <v>0</v>
      </c>
      <c r="CZ7" s="288">
        <f t="shared" si="42"/>
        <v>-1</v>
      </c>
    </row>
    <row r="8" spans="1:104" ht="13.2">
      <c r="A8" s="141">
        <f t="shared" si="4"/>
        <v>7</v>
      </c>
      <c r="B8" s="937">
        <v>3</v>
      </c>
      <c r="C8" s="24" t="s">
        <v>323</v>
      </c>
      <c r="D8" s="636" t="s">
        <v>321</v>
      </c>
      <c r="E8" s="486">
        <v>1707.500722</v>
      </c>
      <c r="F8" s="487">
        <v>1998.6010000000001</v>
      </c>
      <c r="G8" s="487">
        <v>2725.0770000000002</v>
      </c>
      <c r="H8" s="487">
        <v>2132.5619999999999</v>
      </c>
      <c r="I8" s="496">
        <v>2677.04</v>
      </c>
      <c r="J8" s="287">
        <f t="shared" si="5"/>
        <v>0.25531637532695428</v>
      </c>
      <c r="K8" s="288">
        <f t="shared" si="6"/>
        <v>0.56781192857381413</v>
      </c>
      <c r="L8" s="134">
        <v>3902.7840000000001</v>
      </c>
      <c r="M8" s="287">
        <f t="shared" si="7"/>
        <v>0.45787287451812464</v>
      </c>
      <c r="N8" s="288">
        <f t="shared" si="8"/>
        <v>0.95275795418895504</v>
      </c>
      <c r="O8" s="134">
        <v>3058.9459999999999</v>
      </c>
      <c r="P8" s="287">
        <f t="shared" si="9"/>
        <v>-0.21621437414932521</v>
      </c>
      <c r="Q8" s="288">
        <f t="shared" si="10"/>
        <v>0.12251727198901152</v>
      </c>
      <c r="R8" s="134">
        <v>2513.42</v>
      </c>
      <c r="S8" s="287">
        <f t="shared" si="11"/>
        <v>-0.17833789808646505</v>
      </c>
      <c r="T8" s="289">
        <f t="shared" si="12"/>
        <v>0.17859175958307438</v>
      </c>
      <c r="U8" s="496">
        <v>3368.114</v>
      </c>
      <c r="V8" s="287">
        <f t="shared" si="43"/>
        <v>0.34005219979151913</v>
      </c>
      <c r="W8" s="288">
        <f t="shared" si="13"/>
        <v>0.25814855213220578</v>
      </c>
      <c r="X8" s="134">
        <v>2556.328</v>
      </c>
      <c r="Y8" s="287">
        <f t="shared" si="44"/>
        <v>-0.24102093931499946</v>
      </c>
      <c r="Z8" s="288">
        <f t="shared" si="14"/>
        <v>-0.3449988521014743</v>
      </c>
      <c r="AA8" s="134">
        <v>2729.0419999999999</v>
      </c>
      <c r="AB8" s="287">
        <f t="shared" si="45"/>
        <v>6.7563317383371846E-2</v>
      </c>
      <c r="AC8" s="288">
        <f t="shared" si="15"/>
        <v>-0.1078489126646891</v>
      </c>
      <c r="AD8" s="134">
        <v>3029.52</v>
      </c>
      <c r="AE8" s="287">
        <f t="shared" si="46"/>
        <v>0.11010383863641526</v>
      </c>
      <c r="AF8" s="289">
        <f t="shared" si="16"/>
        <v>0.20533774697424212</v>
      </c>
      <c r="AG8" s="496">
        <v>3816.9839999999999</v>
      </c>
      <c r="AH8" s="287">
        <f t="shared" si="47"/>
        <v>0.25993028598589873</v>
      </c>
      <c r="AI8" s="288">
        <f t="shared" si="17"/>
        <v>0.13327042968260572</v>
      </c>
      <c r="AJ8" s="134">
        <v>3401.9360000000001</v>
      </c>
      <c r="AK8" s="287">
        <f t="shared" si="48"/>
        <v>-0.10873716001953371</v>
      </c>
      <c r="AL8" s="288">
        <f t="shared" si="18"/>
        <v>0.33079010205263182</v>
      </c>
      <c r="AM8" s="134">
        <v>3267.4989999999998</v>
      </c>
      <c r="AN8" s="287">
        <f t="shared" si="49"/>
        <v>-3.951779222184082E-2</v>
      </c>
      <c r="AO8" s="288">
        <f t="shared" si="19"/>
        <v>0.19730623420233173</v>
      </c>
      <c r="AP8" s="134">
        <v>1722.3910000000001</v>
      </c>
      <c r="AQ8" s="287">
        <f t="shared" si="50"/>
        <v>-0.47287175910382828</v>
      </c>
      <c r="AR8" s="289">
        <f t="shared" si="20"/>
        <v>-0.43146406031318485</v>
      </c>
      <c r="AS8" s="496">
        <v>5335.4989999999998</v>
      </c>
      <c r="AT8" s="287">
        <f t="shared" si="51"/>
        <v>2.0977281000655483</v>
      </c>
      <c r="AU8" s="288">
        <f t="shared" si="21"/>
        <v>0.39783111482783262</v>
      </c>
      <c r="AV8" s="134">
        <v>4893.9189999999999</v>
      </c>
      <c r="AW8" s="287">
        <f t="shared" si="52"/>
        <v>-8.2762643194197905E-2</v>
      </c>
      <c r="AX8" s="288">
        <f t="shared" si="22"/>
        <v>0.43856880317560343</v>
      </c>
      <c r="AY8" s="134">
        <v>7961.7309999999998</v>
      </c>
      <c r="AZ8" s="287">
        <f t="shared" si="53"/>
        <v>0.62686203020524034</v>
      </c>
      <c r="BA8" s="288">
        <f t="shared" si="23"/>
        <v>1.4366437449560046</v>
      </c>
      <c r="BB8" s="134">
        <v>6862.3</v>
      </c>
      <c r="BC8" s="287">
        <f t="shared" si="54"/>
        <v>-0.13808944311230809</v>
      </c>
      <c r="BD8" s="289">
        <f t="shared" si="24"/>
        <v>2.9841708415801058</v>
      </c>
      <c r="BE8" s="466">
        <v>10193.546</v>
      </c>
      <c r="BF8" s="287">
        <f t="shared" si="55"/>
        <v>0.48544161578479517</v>
      </c>
      <c r="BG8" s="288">
        <f t="shared" si="0"/>
        <v>0.91051408687359903</v>
      </c>
      <c r="BH8" s="467">
        <v>12880.026</v>
      </c>
      <c r="BI8" s="287">
        <f t="shared" si="56"/>
        <v>0.26354715032433251</v>
      </c>
      <c r="BJ8" s="288">
        <f t="shared" si="1"/>
        <v>1.6318429054506214</v>
      </c>
      <c r="BK8" s="467">
        <v>16233.55</v>
      </c>
      <c r="BL8" s="287">
        <f t="shared" si="57"/>
        <v>0.26036624460230118</v>
      </c>
      <c r="BM8" s="288">
        <f t="shared" si="2"/>
        <v>1.0389473093225581</v>
      </c>
      <c r="BN8" s="467">
        <v>17255.562999999998</v>
      </c>
      <c r="BO8" s="287">
        <f t="shared" si="58"/>
        <v>6.2956839385100549E-2</v>
      </c>
      <c r="BP8" s="289">
        <f t="shared" si="3"/>
        <v>1.514545123355143</v>
      </c>
      <c r="BQ8" s="466">
        <v>23037.508000000002</v>
      </c>
      <c r="BR8" s="287">
        <f t="shared" si="59"/>
        <v>0.33507715743612687</v>
      </c>
      <c r="BS8" s="288">
        <f t="shared" si="25"/>
        <v>1.2600092254451987</v>
      </c>
      <c r="BT8" s="467">
        <v>30341.09</v>
      </c>
      <c r="BU8" s="287">
        <f t="shared" si="60"/>
        <v>0.31703003640845173</v>
      </c>
      <c r="BV8" s="288">
        <f t="shared" si="26"/>
        <v>1.3556699342066545</v>
      </c>
      <c r="BW8" s="467">
        <v>29982.37</v>
      </c>
      <c r="BX8" s="287">
        <f t="shared" si="61"/>
        <v>-1.1822910778749307E-2</v>
      </c>
      <c r="BY8" s="288">
        <f t="shared" si="27"/>
        <v>0.84693859322206166</v>
      </c>
      <c r="BZ8" s="467">
        <v>36937.003925999998</v>
      </c>
      <c r="CA8" s="287">
        <f t="shared" si="62"/>
        <v>0.23195744452489908</v>
      </c>
      <c r="CB8" s="289">
        <f t="shared" si="28"/>
        <v>1.1405852666760281</v>
      </c>
      <c r="CC8" s="466">
        <v>40215.508000000002</v>
      </c>
      <c r="CD8" s="287">
        <f t="shared" si="63"/>
        <v>8.8759339565499085E-2</v>
      </c>
      <c r="CE8" s="288">
        <f t="shared" si="29"/>
        <v>0.74565356634927693</v>
      </c>
      <c r="CF8" s="467">
        <v>48972.260984</v>
      </c>
      <c r="CG8" s="287">
        <f t="shared" si="30"/>
        <v>0.21774567622022833</v>
      </c>
      <c r="CH8" s="288">
        <f t="shared" si="31"/>
        <v>0.61405740479330184</v>
      </c>
      <c r="CI8" s="467">
        <v>57741.728236000003</v>
      </c>
      <c r="CJ8" s="287">
        <f t="shared" si="32"/>
        <v>0.17907009143125174</v>
      </c>
      <c r="CK8" s="288">
        <f t="shared" si="33"/>
        <v>0.92585603593044863</v>
      </c>
      <c r="CL8" s="29">
        <v>48372.3</v>
      </c>
      <c r="CM8" s="287">
        <f t="shared" si="34"/>
        <v>-0.16226442335957791</v>
      </c>
      <c r="CN8" s="288">
        <f t="shared" si="35"/>
        <v>0.30958916150615789</v>
      </c>
      <c r="CO8" s="466">
        <v>108647.64200000001</v>
      </c>
      <c r="CP8" s="287">
        <f t="shared" si="64"/>
        <v>1.2460714499827379</v>
      </c>
      <c r="CQ8" s="288">
        <f t="shared" si="36"/>
        <v>1.7016354486930765</v>
      </c>
      <c r="CR8" s="466">
        <v>98394.755957000001</v>
      </c>
      <c r="CS8" s="287">
        <f t="shared" si="37"/>
        <v>-9.4368233440353944E-2</v>
      </c>
      <c r="CT8" s="288">
        <f t="shared" si="38"/>
        <v>1.0091936533040018</v>
      </c>
      <c r="CU8" s="466">
        <v>0</v>
      </c>
      <c r="CV8" s="287">
        <f t="shared" si="39"/>
        <v>-1</v>
      </c>
      <c r="CW8" s="288">
        <f t="shared" si="40"/>
        <v>-1</v>
      </c>
      <c r="CX8" s="466">
        <v>0</v>
      </c>
      <c r="CY8" s="287">
        <f t="shared" si="41"/>
        <v>0</v>
      </c>
      <c r="CZ8" s="288">
        <f t="shared" si="42"/>
        <v>-1</v>
      </c>
    </row>
    <row r="9" spans="1:104" ht="13.2">
      <c r="A9" s="141">
        <f t="shared" si="4"/>
        <v>8</v>
      </c>
      <c r="B9" s="937">
        <v>4</v>
      </c>
      <c r="C9" s="24" t="s">
        <v>324</v>
      </c>
      <c r="D9" s="636" t="s">
        <v>322</v>
      </c>
      <c r="E9" s="486">
        <v>234.19569000000001</v>
      </c>
      <c r="F9" s="487">
        <v>178.751</v>
      </c>
      <c r="G9" s="487">
        <v>343.12200000000001</v>
      </c>
      <c r="H9" s="487">
        <v>409.06799999999998</v>
      </c>
      <c r="I9" s="496">
        <v>797.09400000000005</v>
      </c>
      <c r="J9" s="287">
        <f>IFERROR(I9/H9-1,)</f>
        <v>0.94856111942268795</v>
      </c>
      <c r="K9" s="288">
        <f>IFERROR(I9/E9-1,)</f>
        <v>2.4035382973956523</v>
      </c>
      <c r="L9" s="134">
        <v>691.404</v>
      </c>
      <c r="M9" s="287">
        <f>IFERROR(L9/I9-1,)</f>
        <v>-0.13259414824349458</v>
      </c>
      <c r="N9" s="288">
        <f>IFERROR(L9/F9-1,)</f>
        <v>2.8679727665859209</v>
      </c>
      <c r="O9" s="134">
        <v>421.56</v>
      </c>
      <c r="P9" s="287">
        <f>IFERROR(O9/L9-1,)</f>
        <v>-0.39028411753475534</v>
      </c>
      <c r="Q9" s="288">
        <f>IFERROR(O9/G9-1,)</f>
        <v>0.22860090580026915</v>
      </c>
      <c r="R9" s="134">
        <v>614.09299999999996</v>
      </c>
      <c r="S9" s="287">
        <f>IFERROR(R9/O9-1,)</f>
        <v>0.45671553278299637</v>
      </c>
      <c r="T9" s="289">
        <f>IFERROR(R9/H9-1,)</f>
        <v>0.50120028943843065</v>
      </c>
      <c r="U9" s="496">
        <v>673.79600000000005</v>
      </c>
      <c r="V9" s="287">
        <f>(IFERROR(U9/R9-1,0))</f>
        <v>9.7221430630214156E-2</v>
      </c>
      <c r="W9" s="288">
        <f>IFERROR(U9/I9-1,)</f>
        <v>-0.15468439105049092</v>
      </c>
      <c r="X9" s="134">
        <v>618.33100000000002</v>
      </c>
      <c r="Y9" s="287">
        <f>(IFERROR(X9/U9-1,0))</f>
        <v>-8.2317199864647472E-2</v>
      </c>
      <c r="Z9" s="288">
        <f>IFERROR(X9/L9-1,)</f>
        <v>-0.10568784675819054</v>
      </c>
      <c r="AA9" s="134">
        <v>372.01799999999997</v>
      </c>
      <c r="AB9" s="287">
        <f>(IFERROR(AA9/X9-1,0))</f>
        <v>-0.39835136844182173</v>
      </c>
      <c r="AC9" s="288">
        <f>IFERROR(AA9/O9-1,)</f>
        <v>-0.11752063763165388</v>
      </c>
      <c r="AD9" s="134">
        <v>437.346</v>
      </c>
      <c r="AE9" s="287">
        <f>(IFERROR(AD9/AA9-1,0))</f>
        <v>0.1756044062384079</v>
      </c>
      <c r="AF9" s="289">
        <f>IFERROR(AD9/R9-1,)</f>
        <v>-0.28781796893955791</v>
      </c>
      <c r="AG9" s="496">
        <v>620.20299999999997</v>
      </c>
      <c r="AH9" s="287">
        <f>(IFERROR(AG9/AD9-1,0))</f>
        <v>0.41810603046558104</v>
      </c>
      <c r="AI9" s="288">
        <f>IFERROR(AG9/U9-1,)</f>
        <v>-7.9538910886974845E-2</v>
      </c>
      <c r="AJ9" s="134">
        <v>452.04399999999998</v>
      </c>
      <c r="AK9" s="287">
        <f>(IFERROR(AJ9/AG9-1,0))</f>
        <v>-0.2711354185645668</v>
      </c>
      <c r="AL9" s="288">
        <f>IFERROR(AJ9/X9-1,)</f>
        <v>-0.26892877762881051</v>
      </c>
      <c r="AM9" s="134">
        <v>458.61599999999999</v>
      </c>
      <c r="AN9" s="287">
        <f>(IFERROR(AM9/AJ9-1,0))</f>
        <v>1.4538407765615657E-2</v>
      </c>
      <c r="AO9" s="288">
        <f>IFERROR(AM9/AA9-1,)</f>
        <v>0.23277905907778651</v>
      </c>
      <c r="AP9" s="134">
        <v>393.51100000000002</v>
      </c>
      <c r="AQ9" s="287">
        <f>(IFERROR(AP9/AM9-1,0))</f>
        <v>-0.14195972229490461</v>
      </c>
      <c r="AR9" s="289">
        <f>IFERROR(AP9/AD9-1,)</f>
        <v>-0.10022956652170134</v>
      </c>
      <c r="AS9" s="496">
        <v>611.11500000000001</v>
      </c>
      <c r="AT9" s="287">
        <f>(IFERROR(AS9/AP9-1,0))</f>
        <v>0.55298072989065106</v>
      </c>
      <c r="AU9" s="288">
        <f>IFERROR(AS9/AG9-1,)</f>
        <v>-1.4653266752982397E-2</v>
      </c>
      <c r="AV9" s="134">
        <v>455.709</v>
      </c>
      <c r="AW9" s="287">
        <f>(IFERROR(AV9/AS9-1,0))</f>
        <v>-0.25429910900566999</v>
      </c>
      <c r="AX9" s="288">
        <f>IFERROR(AV9/AJ9-1,)</f>
        <v>8.1076178425110168E-3</v>
      </c>
      <c r="AY9" s="134">
        <v>606.58000000000004</v>
      </c>
      <c r="AZ9" s="287">
        <f>(IFERROR(AY9/AV9-1,0))</f>
        <v>0.33106873026426964</v>
      </c>
      <c r="BA9" s="288">
        <f>IFERROR(AY9/AM9-1,)</f>
        <v>0.32263156976642793</v>
      </c>
      <c r="BB9" s="134">
        <v>1141.683</v>
      </c>
      <c r="BC9" s="287">
        <f>(IFERROR(BB9/AY9-1,0))</f>
        <v>0.88216393550727012</v>
      </c>
      <c r="BD9" s="289">
        <f>IFERROR(BB9/AP9-1,)</f>
        <v>1.9012734078589921</v>
      </c>
      <c r="BE9" s="466">
        <v>1034.9549999999999</v>
      </c>
      <c r="BF9" s="287">
        <f>(IFERROR(BE9/BB9-1,0))</f>
        <v>-9.3483042140419026E-2</v>
      </c>
      <c r="BG9" s="288">
        <f>IFERROR(BE9/AS9-1,)</f>
        <v>0.69355195012395354</v>
      </c>
      <c r="BH9" s="467">
        <v>774.04700000000003</v>
      </c>
      <c r="BI9" s="287">
        <f>(IFERROR(BH9/BE9-1,0))</f>
        <v>-0.25209598484958273</v>
      </c>
      <c r="BJ9" s="288">
        <f>IFERROR(BH9/AV9-1,)</f>
        <v>0.69855543779034424</v>
      </c>
      <c r="BK9" s="467">
        <v>1195.6500000000001</v>
      </c>
      <c r="BL9" s="287">
        <f>(IFERROR(BK9/BH9-1,0))</f>
        <v>0.54467364384850026</v>
      </c>
      <c r="BM9" s="288">
        <f>IFERROR(BK9/AY9-1,)</f>
        <v>0.97113323881433611</v>
      </c>
      <c r="BN9" s="467">
        <v>455.27699999999999</v>
      </c>
      <c r="BO9" s="287">
        <f>(IFERROR(BN9/BK9-1,0))</f>
        <v>-0.61922218040396437</v>
      </c>
      <c r="BP9" s="289">
        <f>IFERROR(BN9/BB9-1,)</f>
        <v>-0.6012229314091565</v>
      </c>
      <c r="BQ9" s="466">
        <v>980.75099999999998</v>
      </c>
      <c r="BR9" s="287">
        <f>(IFERROR(BQ9/BN9-1,0))</f>
        <v>1.1541852542518072</v>
      </c>
      <c r="BS9" s="288">
        <f>IFERROR(BQ9/BE9-1,)</f>
        <v>-5.2373291592388016E-2</v>
      </c>
      <c r="BT9" s="467">
        <v>1508.1</v>
      </c>
      <c r="BU9" s="287">
        <f>(IFERROR(BT9/BQ9-1,0))</f>
        <v>0.53769917134930267</v>
      </c>
      <c r="BV9" s="288">
        <f>IFERROR(BT9/BH9-1,)</f>
        <v>0.94833130287954082</v>
      </c>
      <c r="BW9" s="467">
        <v>2857.56</v>
      </c>
      <c r="BX9" s="287">
        <f>(IFERROR(BW9/BT9-1,0))</f>
        <v>0.89480803660234742</v>
      </c>
      <c r="BY9" s="288">
        <f>IFERROR(BW9/BK9-1,)</f>
        <v>1.3899636181156692</v>
      </c>
      <c r="BZ9" s="467">
        <v>3586.2694080000001</v>
      </c>
      <c r="CA9" s="287">
        <f>(IFERROR(BZ9/BW9-1,0))</f>
        <v>0.25501106118506711</v>
      </c>
      <c r="CB9" s="289">
        <f>IFERROR(BZ9/BN9-1,)</f>
        <v>6.877115268287219</v>
      </c>
      <c r="CC9" s="466">
        <v>4001.2719999999999</v>
      </c>
      <c r="CD9" s="287">
        <f>(IFERROR(CC9/BZ9-1,0))</f>
        <v>0.11571985949361219</v>
      </c>
      <c r="CE9" s="288">
        <f>IFERROR(CC9/BQ9-1,)</f>
        <v>3.0798041500849855</v>
      </c>
      <c r="CF9" s="467">
        <v>3443.396495</v>
      </c>
      <c r="CG9" s="287">
        <f t="shared" si="30"/>
        <v>-0.13942453924651965</v>
      </c>
      <c r="CH9" s="288">
        <f t="shared" si="31"/>
        <v>1.2832680160466814</v>
      </c>
      <c r="CI9" s="467">
        <v>4372.9284070000003</v>
      </c>
      <c r="CJ9" s="287">
        <f t="shared" si="32"/>
        <v>0.26994623284008434</v>
      </c>
      <c r="CK9" s="288">
        <f t="shared" si="33"/>
        <v>0.53030151842830953</v>
      </c>
      <c r="CL9" s="29">
        <v>3592.8</v>
      </c>
      <c r="CM9" s="287">
        <f t="shared" si="34"/>
        <v>-0.17839953788202967</v>
      </c>
      <c r="CN9" s="288">
        <f t="shared" si="35"/>
        <v>1.8209987195696442E-3</v>
      </c>
      <c r="CO9" s="466">
        <v>4024.5709999999999</v>
      </c>
      <c r="CP9" s="287">
        <f>(IFERROR(CO9/CL9-1,0))</f>
        <v>0.12017674237363618</v>
      </c>
      <c r="CQ9" s="288">
        <f>IFERROR(CO9/CC9-1,)</f>
        <v>5.8228983183348237E-3</v>
      </c>
      <c r="CR9" s="466">
        <v>2142.0584899999999</v>
      </c>
      <c r="CS9" s="287">
        <f t="shared" si="37"/>
        <v>-0.46775482653927591</v>
      </c>
      <c r="CT9" s="288">
        <f t="shared" si="38"/>
        <v>-0.37792278841243354</v>
      </c>
      <c r="CU9" s="466">
        <v>0</v>
      </c>
      <c r="CV9" s="287">
        <f t="shared" si="39"/>
        <v>-1</v>
      </c>
      <c r="CW9" s="288">
        <f t="shared" si="40"/>
        <v>-1</v>
      </c>
      <c r="CX9" s="466">
        <v>0</v>
      </c>
      <c r="CY9" s="287">
        <f t="shared" si="41"/>
        <v>0</v>
      </c>
      <c r="CZ9" s="288">
        <f t="shared" si="42"/>
        <v>-1</v>
      </c>
    </row>
    <row r="10" spans="1:104" ht="13.2">
      <c r="A10" s="141">
        <f t="shared" si="4"/>
        <v>9</v>
      </c>
      <c r="B10" s="937">
        <v>2</v>
      </c>
      <c r="C10" s="24" t="s">
        <v>121</v>
      </c>
      <c r="D10" s="636" t="s">
        <v>15</v>
      </c>
      <c r="E10" s="486">
        <v>5073.6190749999996</v>
      </c>
      <c r="F10" s="487">
        <v>4701.8100649999997</v>
      </c>
      <c r="G10" s="487">
        <v>4850.5691049999996</v>
      </c>
      <c r="H10" s="487">
        <v>5906.6032720000003</v>
      </c>
      <c r="I10" s="496">
        <v>6407.3697910000001</v>
      </c>
      <c r="J10" s="287">
        <f t="shared" si="5"/>
        <v>8.4780794636041046E-2</v>
      </c>
      <c r="K10" s="288">
        <f t="shared" si="6"/>
        <v>0.26287955329007451</v>
      </c>
      <c r="L10" s="134">
        <v>6137.5351039999996</v>
      </c>
      <c r="M10" s="287">
        <f t="shared" si="7"/>
        <v>-4.2113175265616642E-2</v>
      </c>
      <c r="N10" s="288">
        <f t="shared" si="8"/>
        <v>0.30535581385718946</v>
      </c>
      <c r="O10" s="134">
        <v>7680.838025</v>
      </c>
      <c r="P10" s="287">
        <f t="shared" si="9"/>
        <v>0.25145321286947708</v>
      </c>
      <c r="Q10" s="288">
        <f t="shared" si="10"/>
        <v>0.58349213437296266</v>
      </c>
      <c r="R10" s="134">
        <v>8722.7339310000007</v>
      </c>
      <c r="S10" s="287">
        <f t="shared" si="11"/>
        <v>0.13564872773111247</v>
      </c>
      <c r="T10" s="289">
        <f t="shared" si="12"/>
        <v>0.47677667338007068</v>
      </c>
      <c r="U10" s="496">
        <v>9408.7447699999993</v>
      </c>
      <c r="V10" s="287">
        <f t="shared" si="43"/>
        <v>7.864631025394031E-2</v>
      </c>
      <c r="W10" s="288">
        <f t="shared" si="13"/>
        <v>0.46842543460123509</v>
      </c>
      <c r="X10" s="134">
        <v>11140.338174</v>
      </c>
      <c r="Y10" s="287">
        <f t="shared" si="44"/>
        <v>0.18404085202961684</v>
      </c>
      <c r="Z10" s="288">
        <f t="shared" si="14"/>
        <v>0.81511600100495341</v>
      </c>
      <c r="AA10" s="134">
        <v>12089.852884</v>
      </c>
      <c r="AB10" s="287">
        <f t="shared" si="45"/>
        <v>8.5232126275666786E-2</v>
      </c>
      <c r="AC10" s="288">
        <f t="shared" si="15"/>
        <v>0.57402783975515481</v>
      </c>
      <c r="AD10" s="134">
        <v>9940.2947380000005</v>
      </c>
      <c r="AE10" s="287">
        <f t="shared" si="46"/>
        <v>-0.17779853622906994</v>
      </c>
      <c r="AF10" s="289">
        <f t="shared" si="16"/>
        <v>0.13958476970997258</v>
      </c>
      <c r="AG10" s="496">
        <v>9188.7777580000002</v>
      </c>
      <c r="AH10" s="287">
        <f t="shared" si="47"/>
        <v>-7.5603088219012515E-2</v>
      </c>
      <c r="AI10" s="288">
        <f t="shared" si="17"/>
        <v>-2.3378996601264967E-2</v>
      </c>
      <c r="AJ10" s="134">
        <v>10023.948367000001</v>
      </c>
      <c r="AK10" s="287">
        <f t="shared" si="48"/>
        <v>9.0890282798806288E-2</v>
      </c>
      <c r="AL10" s="288">
        <f t="shared" si="18"/>
        <v>-0.10021148277217451</v>
      </c>
      <c r="AM10" s="134">
        <v>12690.405835</v>
      </c>
      <c r="AN10" s="287">
        <f t="shared" si="49"/>
        <v>0.26600869940414751</v>
      </c>
      <c r="AO10" s="288">
        <f t="shared" si="19"/>
        <v>4.9674132246454894E-2</v>
      </c>
      <c r="AP10" s="134">
        <v>16465.363683</v>
      </c>
      <c r="AQ10" s="287">
        <f t="shared" si="50"/>
        <v>0.29746549456981963</v>
      </c>
      <c r="AR10" s="289">
        <f t="shared" si="20"/>
        <v>0.6564261037508079</v>
      </c>
      <c r="AS10" s="496">
        <v>18897.354263000001</v>
      </c>
      <c r="AT10" s="287">
        <f t="shared" si="51"/>
        <v>0.14770342318712104</v>
      </c>
      <c r="AU10" s="288">
        <f t="shared" si="21"/>
        <v>1.0565688670125306</v>
      </c>
      <c r="AV10" s="134">
        <v>22425.612138</v>
      </c>
      <c r="AW10" s="287">
        <f t="shared" si="52"/>
        <v>0.18670644715107754</v>
      </c>
      <c r="AX10" s="288">
        <f t="shared" si="22"/>
        <v>1.2372034768083715</v>
      </c>
      <c r="AY10" s="134">
        <v>25110.388919000001</v>
      </c>
      <c r="AZ10" s="287">
        <f t="shared" si="53"/>
        <v>0.11971921945669739</v>
      </c>
      <c r="BA10" s="288">
        <f t="shared" si="23"/>
        <v>0.978690772027623</v>
      </c>
      <c r="BB10" s="134">
        <v>23397.666986</v>
      </c>
      <c r="BC10" s="287">
        <f t="shared" si="54"/>
        <v>-6.8207702338853649E-2</v>
      </c>
      <c r="BD10" s="289">
        <f t="shared" si="24"/>
        <v>0.42102339410561562</v>
      </c>
      <c r="BE10" s="466">
        <v>22444.798663000001</v>
      </c>
      <c r="BF10" s="287">
        <f t="shared" si="55"/>
        <v>-4.0724928838851704E-2</v>
      </c>
      <c r="BG10" s="288">
        <f t="shared" si="0"/>
        <v>0.18772174933216479</v>
      </c>
      <c r="BH10" s="467">
        <v>22393.907862</v>
      </c>
      <c r="BI10" s="287">
        <f t="shared" si="56"/>
        <v>-2.2673761419786942E-3</v>
      </c>
      <c r="BJ10" s="288">
        <f t="shared" si="1"/>
        <v>-1.4137529805162696E-3</v>
      </c>
      <c r="BK10" s="467">
        <v>21607.03225</v>
      </c>
      <c r="BL10" s="287">
        <f t="shared" si="57"/>
        <v>-3.513793201477089E-2</v>
      </c>
      <c r="BM10" s="288">
        <f t="shared" si="2"/>
        <v>-0.13951821615750259</v>
      </c>
      <c r="BN10" s="467">
        <v>19434.327936000002</v>
      </c>
      <c r="BO10" s="287">
        <f t="shared" si="58"/>
        <v>-0.10055542514405225</v>
      </c>
      <c r="BP10" s="289">
        <f t="shared" si="3"/>
        <v>-0.16939035213944464</v>
      </c>
      <c r="BQ10" s="466">
        <v>19355.875768000002</v>
      </c>
      <c r="BR10" s="287">
        <f t="shared" si="59"/>
        <v>-4.036783173483216E-3</v>
      </c>
      <c r="BS10" s="288">
        <f t="shared" si="25"/>
        <v>-0.13762310553010459</v>
      </c>
      <c r="BT10" s="467">
        <v>17860.255970999999</v>
      </c>
      <c r="BU10" s="287">
        <f t="shared" si="60"/>
        <v>-7.7269549305158725E-2</v>
      </c>
      <c r="BV10" s="288">
        <f t="shared" si="26"/>
        <v>-0.20245023418592833</v>
      </c>
      <c r="BW10" s="467">
        <v>16736.942158999998</v>
      </c>
      <c r="BX10" s="287">
        <f t="shared" si="61"/>
        <v>-6.2894608779624717E-2</v>
      </c>
      <c r="BY10" s="288">
        <f t="shared" si="27"/>
        <v>-0.22539375304537723</v>
      </c>
      <c r="BZ10" s="467">
        <v>29999.806868</v>
      </c>
      <c r="CA10" s="287">
        <f t="shared" si="62"/>
        <v>0.79243057560954333</v>
      </c>
      <c r="CB10" s="289">
        <f t="shared" si="28"/>
        <v>0.54365033701158172</v>
      </c>
      <c r="CC10" s="466">
        <v>30415</v>
      </c>
      <c r="CD10" s="287">
        <f t="shared" si="63"/>
        <v>1.3839860163995743E-2</v>
      </c>
      <c r="CE10" s="288">
        <f t="shared" si="29"/>
        <v>0.57135747121726399</v>
      </c>
      <c r="CF10" s="467">
        <v>30085.433391999999</v>
      </c>
      <c r="CG10" s="287">
        <f t="shared" si="30"/>
        <v>-1.0835660299194472E-2</v>
      </c>
      <c r="CH10" s="288">
        <f t="shared" si="31"/>
        <v>0.68449060533344142</v>
      </c>
      <c r="CI10" s="467">
        <v>31261.395182</v>
      </c>
      <c r="CJ10" s="287">
        <f t="shared" si="32"/>
        <v>3.9087413987950015E-2</v>
      </c>
      <c r="CK10" s="288">
        <f t="shared" si="33"/>
        <v>0.86780804313108839</v>
      </c>
      <c r="CL10" s="29">
        <v>30096.5</v>
      </c>
      <c r="CM10" s="287">
        <f t="shared" si="34"/>
        <v>-3.7263058005508776E-2</v>
      </c>
      <c r="CN10" s="288">
        <f t="shared" si="35"/>
        <v>3.2231251496201985E-3</v>
      </c>
      <c r="CO10" s="466">
        <v>59119.678</v>
      </c>
      <c r="CP10" s="287">
        <f t="shared" ref="CP10" si="65">(IFERROR(CO10/CL10-1,0))</f>
        <v>0.96433731497017927</v>
      </c>
      <c r="CQ10" s="288">
        <f t="shared" ref="CQ10" si="66">IFERROR(CO10/CC10-1,)</f>
        <v>0.94376715436462266</v>
      </c>
      <c r="CR10" s="466">
        <v>64896.970666000001</v>
      </c>
      <c r="CS10" s="287">
        <f t="shared" si="37"/>
        <v>9.772199141544724E-2</v>
      </c>
      <c r="CT10" s="288">
        <f t="shared" si="38"/>
        <v>1.1570894399432756</v>
      </c>
      <c r="CU10" s="466">
        <v>0</v>
      </c>
      <c r="CV10" s="287">
        <f t="shared" si="39"/>
        <v>-1</v>
      </c>
      <c r="CW10" s="288">
        <f t="shared" si="40"/>
        <v>-1</v>
      </c>
      <c r="CX10" s="466">
        <v>0</v>
      </c>
      <c r="CY10" s="287">
        <f t="shared" si="41"/>
        <v>0</v>
      </c>
      <c r="CZ10" s="288">
        <f t="shared" si="42"/>
        <v>-1</v>
      </c>
    </row>
    <row r="11" spans="1:104" ht="13.2">
      <c r="A11" s="141">
        <f t="shared" si="4"/>
        <v>10</v>
      </c>
      <c r="B11" s="937">
        <v>4</v>
      </c>
      <c r="C11" s="24" t="s">
        <v>122</v>
      </c>
      <c r="D11" s="636" t="s">
        <v>330</v>
      </c>
      <c r="E11" s="486">
        <v>17.670784999999999</v>
      </c>
      <c r="F11" s="487">
        <v>40.837012000000001</v>
      </c>
      <c r="G11" s="487">
        <v>54.243912999999999</v>
      </c>
      <c r="H11" s="487">
        <v>82.696438000000001</v>
      </c>
      <c r="I11" s="496">
        <v>118.15539</v>
      </c>
      <c r="J11" s="287">
        <f t="shared" si="5"/>
        <v>0.42878451427375874</v>
      </c>
      <c r="K11" s="288">
        <f t="shared" si="6"/>
        <v>5.6864822360749683</v>
      </c>
      <c r="L11" s="134">
        <v>0</v>
      </c>
      <c r="M11" s="287">
        <f t="shared" si="7"/>
        <v>-1</v>
      </c>
      <c r="N11" s="288">
        <f t="shared" si="8"/>
        <v>-1</v>
      </c>
      <c r="O11" s="134">
        <v>14.492055000000001</v>
      </c>
      <c r="P11" s="287">
        <f t="shared" si="9"/>
        <v>0</v>
      </c>
      <c r="Q11" s="288">
        <f t="shared" si="10"/>
        <v>-0.73283536901181889</v>
      </c>
      <c r="R11" s="134">
        <v>35.646574000000001</v>
      </c>
      <c r="S11" s="287">
        <f t="shared" si="11"/>
        <v>1.4597321773896113</v>
      </c>
      <c r="T11" s="289">
        <f t="shared" si="12"/>
        <v>-0.56894668183894448</v>
      </c>
      <c r="U11" s="496">
        <v>65.638727000000003</v>
      </c>
      <c r="V11" s="287">
        <f t="shared" si="43"/>
        <v>0.84137547131457846</v>
      </c>
      <c r="W11" s="288">
        <f t="shared" si="13"/>
        <v>-0.44447115785407665</v>
      </c>
      <c r="X11" s="134">
        <v>80.778049999999993</v>
      </c>
      <c r="Y11" s="287">
        <f t="shared" si="44"/>
        <v>0.23064620067966879</v>
      </c>
      <c r="Z11" s="288">
        <f t="shared" si="14"/>
        <v>0</v>
      </c>
      <c r="AA11" s="134">
        <v>23.339203999999999</v>
      </c>
      <c r="AB11" s="287">
        <f t="shared" si="45"/>
        <v>-0.71106997507367409</v>
      </c>
      <c r="AC11" s="288">
        <f t="shared" si="15"/>
        <v>0.61048270931900261</v>
      </c>
      <c r="AD11" s="134">
        <v>1467.640085</v>
      </c>
      <c r="AE11" s="287">
        <f t="shared" si="46"/>
        <v>61.883039412997981</v>
      </c>
      <c r="AF11" s="289">
        <f t="shared" si="16"/>
        <v>40.171981492527159</v>
      </c>
      <c r="AG11" s="496">
        <v>861.73877100000004</v>
      </c>
      <c r="AH11" s="287">
        <f t="shared" si="47"/>
        <v>-0.41284053235708673</v>
      </c>
      <c r="AI11" s="288">
        <f t="shared" si="17"/>
        <v>12.128511328380881</v>
      </c>
      <c r="AJ11" s="134">
        <v>817.86345500000004</v>
      </c>
      <c r="AK11" s="287">
        <f t="shared" si="48"/>
        <v>-5.0914868260000801E-2</v>
      </c>
      <c r="AL11" s="288">
        <f t="shared" si="18"/>
        <v>9.1248229562362564</v>
      </c>
      <c r="AM11" s="134">
        <v>947.86345500000004</v>
      </c>
      <c r="AN11" s="287">
        <f t="shared" si="49"/>
        <v>0.15895073829897433</v>
      </c>
      <c r="AO11" s="288">
        <f t="shared" si="19"/>
        <v>39.612501394649108</v>
      </c>
      <c r="AP11" s="134">
        <v>905.86345500000004</v>
      </c>
      <c r="AQ11" s="287">
        <f t="shared" si="50"/>
        <v>-4.4310179676670836E-2</v>
      </c>
      <c r="AR11" s="289">
        <f t="shared" si="20"/>
        <v>-0.38277547454694927</v>
      </c>
      <c r="AS11" s="496">
        <v>1828.8634549999999</v>
      </c>
      <c r="AT11" s="287">
        <f t="shared" si="51"/>
        <v>1.0189173599016641</v>
      </c>
      <c r="AU11" s="288">
        <f t="shared" si="21"/>
        <v>1.1222945010095176</v>
      </c>
      <c r="AV11" s="134">
        <v>1881</v>
      </c>
      <c r="AW11" s="287">
        <f t="shared" si="52"/>
        <v>2.8507620324230265E-2</v>
      </c>
      <c r="AX11" s="288">
        <f t="shared" si="22"/>
        <v>1.2998949133874675</v>
      </c>
      <c r="AY11" s="134">
        <v>1491.8205009999999</v>
      </c>
      <c r="AZ11" s="287">
        <f t="shared" si="53"/>
        <v>-0.20690031844763423</v>
      </c>
      <c r="BA11" s="288">
        <f t="shared" si="23"/>
        <v>0.57387701058693086</v>
      </c>
      <c r="BB11" s="134">
        <v>2076.639142</v>
      </c>
      <c r="BC11" s="287">
        <f t="shared" si="54"/>
        <v>0.39201676113713635</v>
      </c>
      <c r="BD11" s="289">
        <f t="shared" si="24"/>
        <v>1.2924416815114812</v>
      </c>
      <c r="BE11" s="466">
        <v>1960.6778939999999</v>
      </c>
      <c r="BF11" s="287">
        <f t="shared" si="55"/>
        <v>-5.5840827447911079E-2</v>
      </c>
      <c r="BG11" s="288">
        <f t="shared" si="0"/>
        <v>7.2074510887965682E-2</v>
      </c>
      <c r="BH11" s="467">
        <v>1243.1250829999999</v>
      </c>
      <c r="BI11" s="287">
        <f t="shared" si="56"/>
        <v>-0.36597179638523536</v>
      </c>
      <c r="BJ11" s="288">
        <f t="shared" si="1"/>
        <v>-0.33911478841042009</v>
      </c>
      <c r="BK11" s="467">
        <v>1677.746502</v>
      </c>
      <c r="BL11" s="287">
        <f t="shared" si="57"/>
        <v>0.3496200221068182</v>
      </c>
      <c r="BM11" s="288">
        <f t="shared" si="2"/>
        <v>0.12463027614607114</v>
      </c>
      <c r="BN11" s="467">
        <v>1432.729934</v>
      </c>
      <c r="BO11" s="287">
        <f t="shared" si="58"/>
        <v>-0.14603908737578764</v>
      </c>
      <c r="BP11" s="289">
        <f t="shared" si="3"/>
        <v>-0.31007274926921324</v>
      </c>
      <c r="BQ11" s="466">
        <v>2018.119113</v>
      </c>
      <c r="BR11" s="287">
        <f t="shared" si="59"/>
        <v>0.40858305889210245</v>
      </c>
      <c r="BS11" s="288">
        <f t="shared" si="25"/>
        <v>2.9296611736063127E-2</v>
      </c>
      <c r="BT11" s="467">
        <v>2118.3246989999998</v>
      </c>
      <c r="BU11" s="287">
        <f t="shared" si="60"/>
        <v>4.9652959210638947E-2</v>
      </c>
      <c r="BV11" s="288">
        <f t="shared" si="26"/>
        <v>0.70403182106816198</v>
      </c>
      <c r="BW11" s="467">
        <v>40836.180669999994</v>
      </c>
      <c r="BX11" s="287">
        <f t="shared" si="61"/>
        <v>18.277583219077595</v>
      </c>
      <c r="BY11" s="288">
        <f t="shared" si="27"/>
        <v>23.339899157185066</v>
      </c>
      <c r="BZ11" s="134">
        <v>0</v>
      </c>
      <c r="CA11" s="532"/>
      <c r="CB11" s="533"/>
      <c r="CC11" s="496">
        <v>0</v>
      </c>
      <c r="CD11" s="287"/>
      <c r="CE11" s="288"/>
      <c r="CF11" s="134">
        <v>0</v>
      </c>
      <c r="CG11" s="287">
        <f t="shared" si="30"/>
        <v>0</v>
      </c>
      <c r="CH11" s="288">
        <f t="shared" si="31"/>
        <v>-1</v>
      </c>
      <c r="CI11" s="134">
        <v>0</v>
      </c>
      <c r="CJ11" s="287">
        <f t="shared" si="32"/>
        <v>0</v>
      </c>
      <c r="CK11" s="288">
        <f t="shared" si="33"/>
        <v>-1</v>
      </c>
      <c r="CL11" s="134">
        <v>0</v>
      </c>
      <c r="CM11" s="287">
        <f t="shared" si="34"/>
        <v>0</v>
      </c>
      <c r="CN11" s="288">
        <f t="shared" si="35"/>
        <v>0</v>
      </c>
      <c r="CO11" s="496">
        <v>0</v>
      </c>
      <c r="CP11" s="287"/>
      <c r="CQ11" s="288"/>
      <c r="CR11" s="496">
        <v>0</v>
      </c>
      <c r="CS11" s="287">
        <f t="shared" si="37"/>
        <v>0</v>
      </c>
      <c r="CT11" s="288">
        <f t="shared" si="38"/>
        <v>0</v>
      </c>
      <c r="CU11" s="496">
        <v>0</v>
      </c>
      <c r="CV11" s="287">
        <f t="shared" si="39"/>
        <v>0</v>
      </c>
      <c r="CW11" s="288">
        <f t="shared" si="40"/>
        <v>0</v>
      </c>
      <c r="CX11" s="496">
        <v>0</v>
      </c>
      <c r="CY11" s="287">
        <f t="shared" si="41"/>
        <v>0</v>
      </c>
      <c r="CZ11" s="288">
        <f t="shared" si="42"/>
        <v>0</v>
      </c>
    </row>
    <row r="12" spans="1:104" ht="16.2" customHeight="1">
      <c r="A12" s="141">
        <f t="shared" si="4"/>
        <v>11</v>
      </c>
      <c r="B12" s="937">
        <v>4</v>
      </c>
      <c r="C12" s="24" t="s">
        <v>123</v>
      </c>
      <c r="D12" s="636" t="s">
        <v>74</v>
      </c>
      <c r="E12" s="486">
        <v>821.07459900000003</v>
      </c>
      <c r="F12" s="487">
        <v>849.92746899999997</v>
      </c>
      <c r="G12" s="487">
        <v>781.18953899999997</v>
      </c>
      <c r="H12" s="487">
        <v>1589.9533960000001</v>
      </c>
      <c r="I12" s="496">
        <v>1294.8050109999999</v>
      </c>
      <c r="J12" s="287">
        <f t="shared" si="5"/>
        <v>-0.18563335613643372</v>
      </c>
      <c r="K12" s="288">
        <f t="shared" si="6"/>
        <v>0.5769639111683198</v>
      </c>
      <c r="L12" s="134">
        <v>503.98596800000001</v>
      </c>
      <c r="M12" s="287">
        <f t="shared" si="7"/>
        <v>-0.61076303866729464</v>
      </c>
      <c r="N12" s="288">
        <f t="shared" si="8"/>
        <v>-0.40702473283634977</v>
      </c>
      <c r="O12" s="134">
        <v>1015.658048</v>
      </c>
      <c r="P12" s="287">
        <f t="shared" si="9"/>
        <v>1.0152506468195956</v>
      </c>
      <c r="Q12" s="288">
        <f t="shared" si="10"/>
        <v>0.30014291960455974</v>
      </c>
      <c r="R12" s="134">
        <v>737.09434799999997</v>
      </c>
      <c r="S12" s="287">
        <f t="shared" si="11"/>
        <v>-0.27426918001441369</v>
      </c>
      <c r="T12" s="289">
        <f t="shared" si="12"/>
        <v>-0.53640506076820893</v>
      </c>
      <c r="U12" s="496">
        <v>2225.8332789999999</v>
      </c>
      <c r="V12" s="287">
        <f t="shared" si="43"/>
        <v>2.0197399899205304</v>
      </c>
      <c r="W12" s="288">
        <f t="shared" si="13"/>
        <v>0.71904901517252484</v>
      </c>
      <c r="X12" s="134">
        <v>1468.6935619999999</v>
      </c>
      <c r="Y12" s="287">
        <f t="shared" si="44"/>
        <v>-0.3401601207706626</v>
      </c>
      <c r="Z12" s="288">
        <f t="shared" si="14"/>
        <v>1.9141556615719106</v>
      </c>
      <c r="AA12" s="134">
        <v>596.36703399999999</v>
      </c>
      <c r="AB12" s="287">
        <f t="shared" si="45"/>
        <v>-0.59394726753762406</v>
      </c>
      <c r="AC12" s="288">
        <f t="shared" si="15"/>
        <v>-0.41282694980427115</v>
      </c>
      <c r="AD12" s="134">
        <v>511.85772800000001</v>
      </c>
      <c r="AE12" s="287">
        <f t="shared" si="46"/>
        <v>-0.14170687040357088</v>
      </c>
      <c r="AF12" s="289">
        <f t="shared" si="16"/>
        <v>-0.30557366314250989</v>
      </c>
      <c r="AG12" s="496">
        <v>2562.5063919999998</v>
      </c>
      <c r="AH12" s="287">
        <f t="shared" si="47"/>
        <v>4.0062864187135991</v>
      </c>
      <c r="AI12" s="288">
        <f t="shared" si="17"/>
        <v>0.15125711174165613</v>
      </c>
      <c r="AJ12" s="134">
        <v>2446.29108</v>
      </c>
      <c r="AK12" s="287">
        <f t="shared" si="48"/>
        <v>-4.5352203749741804E-2</v>
      </c>
      <c r="AL12" s="288">
        <f t="shared" si="18"/>
        <v>0.66562388730617994</v>
      </c>
      <c r="AM12" s="134">
        <v>5727.0061640000004</v>
      </c>
      <c r="AN12" s="287">
        <f t="shared" si="49"/>
        <v>1.34109759497631</v>
      </c>
      <c r="AO12" s="288">
        <f t="shared" si="19"/>
        <v>8.6031568438439212</v>
      </c>
      <c r="AP12" s="134">
        <v>5715.1206309999998</v>
      </c>
      <c r="AQ12" s="287">
        <f t="shared" si="50"/>
        <v>-2.0753483861626343E-3</v>
      </c>
      <c r="AR12" s="289">
        <f t="shared" si="20"/>
        <v>10.165447581168491</v>
      </c>
      <c r="AS12" s="496">
        <v>8540.7059009999994</v>
      </c>
      <c r="AT12" s="287">
        <f t="shared" si="51"/>
        <v>0.49440518449837079</v>
      </c>
      <c r="AU12" s="288">
        <f t="shared" si="21"/>
        <v>2.3329500865494817</v>
      </c>
      <c r="AV12" s="134">
        <v>3564.5272020000002</v>
      </c>
      <c r="AW12" s="287">
        <f t="shared" si="52"/>
        <v>-0.58264255398577269</v>
      </c>
      <c r="AX12" s="288">
        <f t="shared" si="22"/>
        <v>0.45711490801004762</v>
      </c>
      <c r="AY12" s="134">
        <v>3332.322498</v>
      </c>
      <c r="AZ12" s="287">
        <f t="shared" si="53"/>
        <v>-6.5143198758509602E-2</v>
      </c>
      <c r="BA12" s="288">
        <f t="shared" si="23"/>
        <v>-0.41813883160332499</v>
      </c>
      <c r="BB12" s="134">
        <v>2705.3074799999999</v>
      </c>
      <c r="BC12" s="287">
        <f t="shared" si="54"/>
        <v>-0.18816156550763719</v>
      </c>
      <c r="BD12" s="289">
        <f t="shared" si="24"/>
        <v>-0.52664035377908713</v>
      </c>
      <c r="BE12" s="466">
        <v>3831.1789170000002</v>
      </c>
      <c r="BF12" s="287">
        <f t="shared" si="55"/>
        <v>0.41617133923719463</v>
      </c>
      <c r="BG12" s="288">
        <f t="shared" si="0"/>
        <v>-0.55142128046448458</v>
      </c>
      <c r="BH12" s="467">
        <v>3222.8782970000002</v>
      </c>
      <c r="BI12" s="287">
        <f t="shared" si="56"/>
        <v>-0.15877635400967627</v>
      </c>
      <c r="BJ12" s="288">
        <f t="shared" si="1"/>
        <v>-9.5846906374653651E-2</v>
      </c>
      <c r="BK12" s="467">
        <v>10766.058768999999</v>
      </c>
      <c r="BL12" s="287">
        <f t="shared" si="57"/>
        <v>2.3405104930650129</v>
      </c>
      <c r="BM12" s="288">
        <f t="shared" si="2"/>
        <v>2.2307973719415193</v>
      </c>
      <c r="BN12" s="467">
        <v>10277.253769999999</v>
      </c>
      <c r="BO12" s="287">
        <f t="shared" si="58"/>
        <v>-4.5402408577545073E-2</v>
      </c>
      <c r="BP12" s="289">
        <f t="shared" si="3"/>
        <v>2.7989226163674377</v>
      </c>
      <c r="BQ12" s="466">
        <v>9879.9716950000002</v>
      </c>
      <c r="BR12" s="287">
        <f t="shared" si="59"/>
        <v>-3.8656443043149524E-2</v>
      </c>
      <c r="BS12" s="288">
        <f t="shared" si="25"/>
        <v>1.5788332805758127</v>
      </c>
      <c r="BT12" s="467">
        <v>1697.3776620000001</v>
      </c>
      <c r="BU12" s="287">
        <f t="shared" si="60"/>
        <v>-0.82820014931226993</v>
      </c>
      <c r="BV12" s="288">
        <f t="shared" si="26"/>
        <v>-0.47333485611914183</v>
      </c>
      <c r="BW12" s="467">
        <v>3526.2995019999998</v>
      </c>
      <c r="BX12" s="287">
        <f t="shared" si="61"/>
        <v>1.0774984736425735</v>
      </c>
      <c r="BY12" s="288">
        <f t="shared" si="27"/>
        <v>-0.67246142923223717</v>
      </c>
      <c r="BZ12" s="467">
        <v>5608.5786209999997</v>
      </c>
      <c r="CA12" s="287">
        <f t="shared" si="62"/>
        <v>0.59049979101860184</v>
      </c>
      <c r="CB12" s="289">
        <f t="shared" si="28"/>
        <v>-0.45427263483832414</v>
      </c>
      <c r="CC12" s="466">
        <v>5181</v>
      </c>
      <c r="CD12" s="287">
        <f t="shared" si="63"/>
        <v>-7.6236538683621569E-2</v>
      </c>
      <c r="CE12" s="288">
        <f t="shared" si="29"/>
        <v>-0.4756057851236587</v>
      </c>
      <c r="CF12" s="467">
        <v>6759.4738969999999</v>
      </c>
      <c r="CG12" s="287">
        <f t="shared" si="30"/>
        <v>0.30466587473460716</v>
      </c>
      <c r="CH12" s="288">
        <f t="shared" si="31"/>
        <v>2.9823040259852314</v>
      </c>
      <c r="CI12" s="467">
        <v>7384.0958579999997</v>
      </c>
      <c r="CJ12" s="287">
        <f t="shared" si="32"/>
        <v>9.2406890021014876E-2</v>
      </c>
      <c r="CK12" s="288">
        <f t="shared" si="33"/>
        <v>1.0940070047402344</v>
      </c>
      <c r="CL12" s="29">
        <v>6124.3</v>
      </c>
      <c r="CM12" s="287">
        <f t="shared" si="34"/>
        <v>-0.17060935857639559</v>
      </c>
      <c r="CN12" s="288">
        <f t="shared" si="35"/>
        <v>9.1952242065218348E-2</v>
      </c>
      <c r="CO12" s="466">
        <v>7725.5050000000001</v>
      </c>
      <c r="CP12" s="287">
        <f t="shared" ref="CP12:CP14" si="67">(IFERROR(CO12/CL12-1,0))</f>
        <v>0.26145110461603771</v>
      </c>
      <c r="CQ12" s="288">
        <f t="shared" ref="CQ12:CQ32" si="68">IFERROR(CO12/CC12-1,)</f>
        <v>0.49112237019880345</v>
      </c>
      <c r="CR12" s="466">
        <v>14610.859753999999</v>
      </c>
      <c r="CS12" s="287">
        <f t="shared" si="37"/>
        <v>0.89124979583858899</v>
      </c>
      <c r="CT12" s="288">
        <f t="shared" si="38"/>
        <v>1.1615380097088051</v>
      </c>
      <c r="CU12" s="466">
        <v>0</v>
      </c>
      <c r="CV12" s="287">
        <f t="shared" si="39"/>
        <v>-1</v>
      </c>
      <c r="CW12" s="288">
        <f t="shared" si="40"/>
        <v>-1</v>
      </c>
      <c r="CX12" s="466">
        <v>0</v>
      </c>
      <c r="CY12" s="287">
        <f t="shared" si="41"/>
        <v>0</v>
      </c>
      <c r="CZ12" s="288">
        <f t="shared" si="42"/>
        <v>-1</v>
      </c>
    </row>
    <row r="13" spans="1:104" ht="16.2" customHeight="1">
      <c r="A13" s="141">
        <f t="shared" si="4"/>
        <v>12</v>
      </c>
      <c r="B13" s="937">
        <v>4</v>
      </c>
      <c r="C13" s="24" t="s">
        <v>124</v>
      </c>
      <c r="D13" s="636" t="s">
        <v>201</v>
      </c>
      <c r="E13" s="486">
        <v>11.415385000000001</v>
      </c>
      <c r="F13" s="487">
        <v>10.824405</v>
      </c>
      <c r="G13" s="487">
        <v>18.489695000000001</v>
      </c>
      <c r="H13" s="487">
        <v>4.4176130000000002</v>
      </c>
      <c r="I13" s="496">
        <v>5.7394579999999999</v>
      </c>
      <c r="J13" s="287">
        <f t="shared" si="5"/>
        <v>0.29922154792644795</v>
      </c>
      <c r="K13" s="288">
        <f t="shared" si="6"/>
        <v>-0.497217308045239</v>
      </c>
      <c r="L13" s="134">
        <v>6.8841169999999998</v>
      </c>
      <c r="M13" s="287">
        <f t="shared" si="7"/>
        <v>0.19943677608582555</v>
      </c>
      <c r="N13" s="288">
        <f t="shared" si="8"/>
        <v>-0.36401889988410452</v>
      </c>
      <c r="O13" s="134">
        <v>9.5515360000000005</v>
      </c>
      <c r="P13" s="287">
        <f t="shared" si="9"/>
        <v>0.38747438487753771</v>
      </c>
      <c r="Q13" s="288">
        <f t="shared" si="10"/>
        <v>-0.48341300383808383</v>
      </c>
      <c r="R13" s="134">
        <v>0.16672300000000001</v>
      </c>
      <c r="S13" s="287">
        <f t="shared" si="11"/>
        <v>-0.98254490167864106</v>
      </c>
      <c r="T13" s="289">
        <f t="shared" si="12"/>
        <v>-0.96225948266631778</v>
      </c>
      <c r="U13" s="496">
        <v>1.1394629999999999</v>
      </c>
      <c r="V13" s="287">
        <f t="shared" si="43"/>
        <v>5.8344679498329555</v>
      </c>
      <c r="W13" s="288">
        <f t="shared" si="13"/>
        <v>-0.80146853587917188</v>
      </c>
      <c r="X13" s="134">
        <v>7.1069430000000002</v>
      </c>
      <c r="Y13" s="287">
        <f t="shared" si="44"/>
        <v>5.2370985279908178</v>
      </c>
      <c r="Z13" s="288">
        <f t="shared" si="14"/>
        <v>3.2368130872848289E-2</v>
      </c>
      <c r="AA13" s="134">
        <v>10.900641999999999</v>
      </c>
      <c r="AB13" s="287">
        <f t="shared" si="45"/>
        <v>0.53380180479849049</v>
      </c>
      <c r="AC13" s="288">
        <f t="shared" si="15"/>
        <v>0.14124492647046494</v>
      </c>
      <c r="AD13" s="134">
        <v>1.527552</v>
      </c>
      <c r="AE13" s="287">
        <f t="shared" si="46"/>
        <v>-0.85986586845068391</v>
      </c>
      <c r="AF13" s="289">
        <f t="shared" si="16"/>
        <v>8.1622151712721092</v>
      </c>
      <c r="AG13" s="496">
        <v>1.591434</v>
      </c>
      <c r="AH13" s="287">
        <f t="shared" si="47"/>
        <v>4.1819852941176405E-2</v>
      </c>
      <c r="AI13" s="288">
        <f t="shared" si="17"/>
        <v>0.39665263374063064</v>
      </c>
      <c r="AJ13" s="134">
        <v>16.598569999999999</v>
      </c>
      <c r="AK13" s="287">
        <f t="shared" si="48"/>
        <v>9.4299455711012818</v>
      </c>
      <c r="AL13" s="288">
        <f t="shared" si="18"/>
        <v>1.3355428628033175</v>
      </c>
      <c r="AM13" s="134">
        <v>25.277471999999999</v>
      </c>
      <c r="AN13" s="287">
        <f t="shared" si="49"/>
        <v>0.52287046414239313</v>
      </c>
      <c r="AO13" s="288">
        <f t="shared" si="19"/>
        <v>1.3188975475022482</v>
      </c>
      <c r="AP13" s="134">
        <v>24.435525999999999</v>
      </c>
      <c r="AQ13" s="287">
        <f t="shared" si="50"/>
        <v>-3.3308156765043617E-2</v>
      </c>
      <c r="AR13" s="289">
        <f t="shared" si="20"/>
        <v>14.99652646849338</v>
      </c>
      <c r="AS13" s="496">
        <v>24.958220000000001</v>
      </c>
      <c r="AT13" s="287">
        <f t="shared" si="51"/>
        <v>2.1390740678142173E-2</v>
      </c>
      <c r="AU13" s="288">
        <f t="shared" si="21"/>
        <v>14.682849555809415</v>
      </c>
      <c r="AV13" s="134">
        <v>26.650548000000001</v>
      </c>
      <c r="AW13" s="287">
        <f t="shared" si="52"/>
        <v>6.7806438119385026E-2</v>
      </c>
      <c r="AX13" s="288">
        <f t="shared" si="22"/>
        <v>0.60559301192813608</v>
      </c>
      <c r="AY13" s="134">
        <v>29.575531999999999</v>
      </c>
      <c r="AZ13" s="287">
        <f t="shared" si="53"/>
        <v>0.10975324034612721</v>
      </c>
      <c r="BA13" s="288">
        <f t="shared" si="23"/>
        <v>0.1700351997225038</v>
      </c>
      <c r="BB13" s="134">
        <v>24.527324</v>
      </c>
      <c r="BC13" s="287">
        <f t="shared" si="54"/>
        <v>-0.17068866250656112</v>
      </c>
      <c r="BD13" s="289">
        <f t="shared" si="24"/>
        <v>3.7567433580107945E-3</v>
      </c>
      <c r="BE13" s="466">
        <v>25.233744999999999</v>
      </c>
      <c r="BF13" s="287">
        <f t="shared" si="55"/>
        <v>2.8801389014145862E-2</v>
      </c>
      <c r="BG13" s="288">
        <f t="shared" si="0"/>
        <v>1.1039449127381529E-2</v>
      </c>
      <c r="BH13" s="467">
        <v>26.898747</v>
      </c>
      <c r="BI13" s="287">
        <f t="shared" si="56"/>
        <v>6.598315073723704E-2</v>
      </c>
      <c r="BJ13" s="288">
        <f t="shared" si="1"/>
        <v>9.3130917983375028E-3</v>
      </c>
      <c r="BK13" s="467">
        <v>203.45596</v>
      </c>
      <c r="BL13" s="287">
        <f t="shared" si="57"/>
        <v>6.5637709072470924</v>
      </c>
      <c r="BM13" s="288">
        <f t="shared" si="2"/>
        <v>5.8791986565110648</v>
      </c>
      <c r="BN13" s="467">
        <v>25.526389000000002</v>
      </c>
      <c r="BO13" s="287">
        <f t="shared" si="58"/>
        <v>-0.87453604701479382</v>
      </c>
      <c r="BP13" s="289">
        <f t="shared" si="3"/>
        <v>4.0732735458625768E-2</v>
      </c>
      <c r="BQ13" s="466">
        <v>26.640604</v>
      </c>
      <c r="BR13" s="287">
        <f t="shared" si="59"/>
        <v>4.3649534605149087E-2</v>
      </c>
      <c r="BS13" s="288">
        <f t="shared" si="25"/>
        <v>5.5753079853981369E-2</v>
      </c>
      <c r="BT13" s="467">
        <v>27.469688000000001</v>
      </c>
      <c r="BU13" s="287">
        <f t="shared" si="60"/>
        <v>3.1121066174025325E-2</v>
      </c>
      <c r="BV13" s="288">
        <f t="shared" si="26"/>
        <v>2.1225561175767904E-2</v>
      </c>
      <c r="BW13" s="467">
        <v>26.158080000000002</v>
      </c>
      <c r="BX13" s="287">
        <f t="shared" si="61"/>
        <v>-4.7747466225317114E-2</v>
      </c>
      <c r="BY13" s="288">
        <f t="shared" si="27"/>
        <v>-0.87143124241727787</v>
      </c>
      <c r="BZ13" s="467">
        <v>28.732804000000002</v>
      </c>
      <c r="CA13" s="287">
        <f t="shared" si="62"/>
        <v>9.8429395429634026E-2</v>
      </c>
      <c r="CB13" s="289">
        <f t="shared" si="28"/>
        <v>0.12561177376087151</v>
      </c>
      <c r="CC13" s="466">
        <v>29</v>
      </c>
      <c r="CD13" s="287">
        <f t="shared" si="63"/>
        <v>9.2993360480932985E-3</v>
      </c>
      <c r="CE13" s="288">
        <f t="shared" si="29"/>
        <v>8.8563907935420794E-2</v>
      </c>
      <c r="CF13" s="467">
        <v>24.526900000000001</v>
      </c>
      <c r="CG13" s="287">
        <f t="shared" si="30"/>
        <v>-0.15424482758620683</v>
      </c>
      <c r="CH13" s="288">
        <f t="shared" si="31"/>
        <v>-0.10712855566470214</v>
      </c>
      <c r="CI13" s="467">
        <v>25.398969000000001</v>
      </c>
      <c r="CJ13" s="287">
        <f t="shared" si="32"/>
        <v>3.5555614447810413E-2</v>
      </c>
      <c r="CK13" s="288">
        <f t="shared" si="33"/>
        <v>-2.9020134505284845E-2</v>
      </c>
      <c r="CL13" s="29">
        <v>25.1</v>
      </c>
      <c r="CM13" s="287">
        <f t="shared" si="34"/>
        <v>-1.1770910858625805E-2</v>
      </c>
      <c r="CN13" s="288">
        <f t="shared" si="35"/>
        <v>-0.1264340229376848</v>
      </c>
      <c r="CO13" s="466">
        <v>1454.232</v>
      </c>
      <c r="CP13" s="287">
        <f t="shared" si="67"/>
        <v>56.937529880478081</v>
      </c>
      <c r="CQ13" s="288">
        <f t="shared" si="68"/>
        <v>49.145931034482757</v>
      </c>
      <c r="CR13" s="466">
        <v>1576.3003670000001</v>
      </c>
      <c r="CS13" s="287">
        <f t="shared" si="37"/>
        <v>8.394009140219727E-2</v>
      </c>
      <c r="CT13" s="288">
        <f t="shared" si="38"/>
        <v>63.268226600181833</v>
      </c>
      <c r="CU13" s="466">
        <v>0</v>
      </c>
      <c r="CV13" s="287">
        <f t="shared" si="39"/>
        <v>-1</v>
      </c>
      <c r="CW13" s="288">
        <f t="shared" si="40"/>
        <v>-1</v>
      </c>
      <c r="CX13" s="466">
        <v>0</v>
      </c>
      <c r="CY13" s="287">
        <f t="shared" si="41"/>
        <v>0</v>
      </c>
      <c r="CZ13" s="288">
        <f t="shared" si="42"/>
        <v>-1</v>
      </c>
    </row>
    <row r="14" spans="1:104" ht="16.2" customHeight="1">
      <c r="A14" s="141">
        <f t="shared" si="4"/>
        <v>13</v>
      </c>
      <c r="B14" s="937">
        <v>4</v>
      </c>
      <c r="C14" s="24" t="s">
        <v>219</v>
      </c>
      <c r="D14" s="636" t="s">
        <v>485</v>
      </c>
      <c r="E14" s="486"/>
      <c r="F14" s="487"/>
      <c r="G14" s="487"/>
      <c r="H14" s="487"/>
      <c r="I14" s="496"/>
      <c r="J14" s="287"/>
      <c r="K14" s="288"/>
      <c r="L14" s="134"/>
      <c r="M14" s="287"/>
      <c r="N14" s="288"/>
      <c r="O14" s="134"/>
      <c r="P14" s="287"/>
      <c r="Q14" s="288"/>
      <c r="R14" s="134"/>
      <c r="S14" s="287"/>
      <c r="T14" s="289"/>
      <c r="U14" s="496"/>
      <c r="V14" s="287"/>
      <c r="W14" s="288"/>
      <c r="X14" s="134"/>
      <c r="Y14" s="287"/>
      <c r="Z14" s="288"/>
      <c r="AA14" s="134"/>
      <c r="AB14" s="287"/>
      <c r="AC14" s="288"/>
      <c r="AD14" s="134"/>
      <c r="AE14" s="287"/>
      <c r="AF14" s="289"/>
      <c r="AG14" s="496"/>
      <c r="AH14" s="287"/>
      <c r="AI14" s="288"/>
      <c r="AJ14" s="134"/>
      <c r="AK14" s="287"/>
      <c r="AL14" s="288"/>
      <c r="AM14" s="134"/>
      <c r="AN14" s="287"/>
      <c r="AO14" s="288"/>
      <c r="AP14" s="134"/>
      <c r="AQ14" s="287"/>
      <c r="AR14" s="289"/>
      <c r="AS14" s="496"/>
      <c r="AT14" s="287"/>
      <c r="AU14" s="288"/>
      <c r="AV14" s="134"/>
      <c r="AW14" s="287"/>
      <c r="AX14" s="288"/>
      <c r="AY14" s="134"/>
      <c r="AZ14" s="287"/>
      <c r="BA14" s="288"/>
      <c r="BB14" s="134"/>
      <c r="BC14" s="287"/>
      <c r="BD14" s="289"/>
      <c r="BE14" s="466"/>
      <c r="BF14" s="287"/>
      <c r="BG14" s="288"/>
      <c r="BH14" s="467"/>
      <c r="BI14" s="287"/>
      <c r="BJ14" s="288"/>
      <c r="BK14" s="467"/>
      <c r="BL14" s="287"/>
      <c r="BM14" s="288"/>
      <c r="BN14" s="467"/>
      <c r="BO14" s="287"/>
      <c r="BP14" s="289"/>
      <c r="BQ14" s="466"/>
      <c r="BR14" s="287"/>
      <c r="BS14" s="288"/>
      <c r="BT14" s="467"/>
      <c r="BU14" s="287"/>
      <c r="BV14" s="288"/>
      <c r="BW14" s="467"/>
      <c r="BX14" s="287"/>
      <c r="BY14" s="288"/>
      <c r="BZ14" s="467"/>
      <c r="CA14" s="287"/>
      <c r="CB14" s="289"/>
      <c r="CC14" s="466">
        <v>0</v>
      </c>
      <c r="CD14" s="287">
        <f t="shared" si="63"/>
        <v>0</v>
      </c>
      <c r="CE14" s="288">
        <f t="shared" ref="CE14" si="69">IFERROR(CC14/BQ14-1,)</f>
        <v>0</v>
      </c>
      <c r="CF14" s="467">
        <v>0</v>
      </c>
      <c r="CG14" s="287">
        <f t="shared" ref="CG14" si="70">IFERROR(CF14/CC14-1,0)</f>
        <v>0</v>
      </c>
      <c r="CH14" s="288">
        <f t="shared" ref="CH14" si="71">IFERROR(CF14/BT14-1,)</f>
        <v>0</v>
      </c>
      <c r="CI14" s="467">
        <v>0</v>
      </c>
      <c r="CJ14" s="287">
        <f t="shared" ref="CJ14" si="72">IFERROR(CI14/CF14-1,0)</f>
        <v>0</v>
      </c>
      <c r="CK14" s="288">
        <f t="shared" ref="CK14" si="73">IFERROR(CI14/BW14-1,)</f>
        <v>0</v>
      </c>
      <c r="CL14" s="467">
        <v>0</v>
      </c>
      <c r="CM14" s="287">
        <f t="shared" ref="CM14" si="74">IFERROR(CL14/CI14-1,0)</f>
        <v>0</v>
      </c>
      <c r="CN14" s="288">
        <f t="shared" ref="CN14" si="75">IFERROR(CL14/BZ14-1,)</f>
        <v>0</v>
      </c>
      <c r="CO14" s="466">
        <v>0</v>
      </c>
      <c r="CP14" s="287">
        <f t="shared" si="67"/>
        <v>0</v>
      </c>
      <c r="CQ14" s="288">
        <f t="shared" ref="CQ14" si="76">IFERROR(CO14/CC14-1,)</f>
        <v>0</v>
      </c>
      <c r="CR14" s="466">
        <v>0</v>
      </c>
      <c r="CS14" s="287">
        <f t="shared" ref="CS14" si="77">IFERROR(CR14/CO14-1,0)</f>
        <v>0</v>
      </c>
      <c r="CT14" s="288">
        <f t="shared" ref="CT14" si="78">IFERROR(CR14/CF14-1,)</f>
        <v>0</v>
      </c>
      <c r="CU14" s="466">
        <v>0</v>
      </c>
      <c r="CV14" s="287">
        <f t="shared" ref="CV14" si="79">IFERROR(CU14/CR14-1,0)</f>
        <v>0</v>
      </c>
      <c r="CW14" s="288">
        <f t="shared" ref="CW14" si="80">IFERROR(CU14/CI14-1,)</f>
        <v>0</v>
      </c>
      <c r="CX14" s="466">
        <v>0</v>
      </c>
      <c r="CY14" s="287">
        <f t="shared" ref="CY14" si="81">IFERROR(CX14/CU14-1,0)</f>
        <v>0</v>
      </c>
      <c r="CZ14" s="288">
        <f t="shared" ref="CZ14" si="82">IFERROR(CX14/CL14-1,)</f>
        <v>0</v>
      </c>
    </row>
    <row r="15" spans="1:104" s="22" customFormat="1" ht="16.2" customHeight="1">
      <c r="A15" s="141">
        <f t="shared" si="4"/>
        <v>14</v>
      </c>
      <c r="B15" s="20" t="s">
        <v>18</v>
      </c>
      <c r="C15" s="21"/>
      <c r="D15" s="635" t="s">
        <v>19</v>
      </c>
      <c r="E15" s="484">
        <f>SUM(E16:E25)</f>
        <v>35567.620753000003</v>
      </c>
      <c r="F15" s="485">
        <f t="shared" ref="F15:O15" si="83">SUM(F16:F25)</f>
        <v>36058.110848000011</v>
      </c>
      <c r="G15" s="485">
        <f t="shared" si="83"/>
        <v>36947.031686000009</v>
      </c>
      <c r="H15" s="485">
        <f t="shared" si="83"/>
        <v>49080.730539000004</v>
      </c>
      <c r="I15" s="495">
        <f t="shared" si="83"/>
        <v>49571.622874000008</v>
      </c>
      <c r="J15" s="284">
        <f t="shared" si="5"/>
        <v>1.0001732443854605E-2</v>
      </c>
      <c r="K15" s="285">
        <f t="shared" si="6"/>
        <v>0.39372895415892595</v>
      </c>
      <c r="L15" s="135">
        <f t="shared" si="83"/>
        <v>54089.454947000006</v>
      </c>
      <c r="M15" s="284">
        <f t="shared" si="7"/>
        <v>9.1137465571448306E-2</v>
      </c>
      <c r="N15" s="285">
        <f t="shared" si="8"/>
        <v>0.50006347184991573</v>
      </c>
      <c r="O15" s="135">
        <f t="shared" si="83"/>
        <v>54503.723300999998</v>
      </c>
      <c r="P15" s="284">
        <f t="shared" si="9"/>
        <v>7.6589485770548471E-3</v>
      </c>
      <c r="Q15" s="285">
        <f t="shared" si="10"/>
        <v>0.4751854428850526</v>
      </c>
      <c r="R15" s="135">
        <f>SUM(R16:R25)</f>
        <v>56010.299410000007</v>
      </c>
      <c r="S15" s="284">
        <f t="shared" si="11"/>
        <v>2.7641709919152824E-2</v>
      </c>
      <c r="T15" s="286">
        <f t="shared" si="12"/>
        <v>0.14118715827780326</v>
      </c>
      <c r="U15" s="495">
        <f>SUM(U16:U25)</f>
        <v>55822.68117299999</v>
      </c>
      <c r="V15" s="284">
        <f>IFERROR(U15/R15-1,0)</f>
        <v>-3.3497095887068395E-3</v>
      </c>
      <c r="W15" s="285">
        <f t="shared" si="13"/>
        <v>0.12610154634010629</v>
      </c>
      <c r="X15" s="135">
        <f>SUM(X16:X25)</f>
        <v>55304.449050000003</v>
      </c>
      <c r="Y15" s="284">
        <f>IFERROR(X15/U15-1,0)</f>
        <v>-9.2835405270831339E-3</v>
      </c>
      <c r="Z15" s="285">
        <f t="shared" si="14"/>
        <v>2.2462679725475443E-2</v>
      </c>
      <c r="AA15" s="135">
        <f>SUM(AA16:AA25)</f>
        <v>55305.692062000002</v>
      </c>
      <c r="AB15" s="284">
        <f>IFERROR(AA15/X15-1,0)</f>
        <v>2.2475804774213515E-5</v>
      </c>
      <c r="AC15" s="285">
        <f t="shared" si="15"/>
        <v>1.4714017913438404E-2</v>
      </c>
      <c r="AD15" s="135">
        <f>SUM(AD16:AD25)</f>
        <v>54513.727743999996</v>
      </c>
      <c r="AE15" s="284">
        <f>IFERROR(AD15/AA15-1,0)</f>
        <v>-1.4319761465278802E-2</v>
      </c>
      <c r="AF15" s="286">
        <f t="shared" si="16"/>
        <v>-2.6719579823078266E-2</v>
      </c>
      <c r="AG15" s="495">
        <f>SUM(AG16:AG25)</f>
        <v>56645.667138999997</v>
      </c>
      <c r="AH15" s="284">
        <f>IFERROR(AG15/AD15-1,0)</f>
        <v>3.9108303233485131E-2</v>
      </c>
      <c r="AI15" s="285">
        <f t="shared" si="17"/>
        <v>1.4742859868186686E-2</v>
      </c>
      <c r="AJ15" s="135">
        <f>SUM(AJ16:AJ25)</f>
        <v>71352.215113999991</v>
      </c>
      <c r="AK15" s="284">
        <f>IFERROR(AJ15/AG15-1,0)</f>
        <v>0.25962352846709935</v>
      </c>
      <c r="AL15" s="285">
        <f t="shared" si="18"/>
        <v>0.29017133955156882</v>
      </c>
      <c r="AM15" s="135">
        <f>SUM(AM16:AM25)</f>
        <v>81317.708778</v>
      </c>
      <c r="AN15" s="284">
        <f>IFERROR(AM15/AJ15-1,0)</f>
        <v>0.13966621285797598</v>
      </c>
      <c r="AO15" s="285">
        <f t="shared" si="19"/>
        <v>0.47033163759779795</v>
      </c>
      <c r="AP15" s="135">
        <f>SUM(AP16:AP25)</f>
        <v>143239.18471</v>
      </c>
      <c r="AQ15" s="284">
        <f>IFERROR(AP15/AM15-1,0)</f>
        <v>0.76147590558715383</v>
      </c>
      <c r="AR15" s="286">
        <f t="shared" si="20"/>
        <v>1.6275800727233425</v>
      </c>
      <c r="AS15" s="495">
        <f>SUM(AS16:AS25)</f>
        <v>211360.70394800004</v>
      </c>
      <c r="AT15" s="284">
        <f>IFERROR(AS15/AP15-1,0)</f>
        <v>0.47557879763081501</v>
      </c>
      <c r="AU15" s="285">
        <f t="shared" si="21"/>
        <v>2.7312775120002115</v>
      </c>
      <c r="AV15" s="135">
        <f>SUM(AV16:AV25)</f>
        <v>210890.911422</v>
      </c>
      <c r="AW15" s="284">
        <f>IFERROR(AV15/AS15-1,0)</f>
        <v>-2.2227051539136511E-3</v>
      </c>
      <c r="AX15" s="285">
        <f t="shared" si="22"/>
        <v>1.9556322965595103</v>
      </c>
      <c r="AY15" s="135">
        <f>SUM(AY16:AY25)</f>
        <v>210778.06532499997</v>
      </c>
      <c r="AZ15" s="284">
        <f>IFERROR(AY15/AV15-1,0)</f>
        <v>-5.3509227229908696E-4</v>
      </c>
      <c r="BA15" s="285">
        <f t="shared" si="23"/>
        <v>1.5920315327677392</v>
      </c>
      <c r="BB15" s="135">
        <f>SUM(BB16:BB25)</f>
        <v>183622.41757199998</v>
      </c>
      <c r="BC15" s="284">
        <f>IFERROR(BB15/AY15-1,0)</f>
        <v>-0.12883526429151226</v>
      </c>
      <c r="BD15" s="286">
        <f t="shared" si="24"/>
        <v>0.28192867017331391</v>
      </c>
      <c r="BE15" s="464">
        <f>SUM(BE16:BE25)</f>
        <v>183789.71224299999</v>
      </c>
      <c r="BF15" s="284">
        <f>IFERROR(BE15/BB15-1,0)</f>
        <v>9.1107977561843967E-4</v>
      </c>
      <c r="BG15" s="285">
        <f t="shared" si="0"/>
        <v>-0.13044521138509835</v>
      </c>
      <c r="BH15" s="465">
        <f>SUM(BH16:BH25)</f>
        <v>188229.24635899998</v>
      </c>
      <c r="BI15" s="284">
        <f>IFERROR(BH15/BE15-1,0)</f>
        <v>2.4155509368936956E-2</v>
      </c>
      <c r="BJ15" s="285">
        <f t="shared" si="1"/>
        <v>-0.10745681219828984</v>
      </c>
      <c r="BK15" s="465">
        <f>SUM(BK16:BK25)</f>
        <v>188515.83015199998</v>
      </c>
      <c r="BL15" s="284">
        <f>IFERROR(BK15/BH15-1,0)</f>
        <v>1.522525317098733E-3</v>
      </c>
      <c r="BM15" s="285">
        <f t="shared" si="2"/>
        <v>-0.10561931640597289</v>
      </c>
      <c r="BN15" s="465">
        <f>SUM(BN16:BN25)</f>
        <v>189705.53868400003</v>
      </c>
      <c r="BO15" s="284">
        <f>IFERROR(BN15/BK15-1,0)</f>
        <v>6.3109211096001872E-3</v>
      </c>
      <c r="BP15" s="286">
        <f t="shared" si="3"/>
        <v>3.3128422947676262E-2</v>
      </c>
      <c r="BQ15" s="464">
        <f>SUM(BQ16:BQ25)</f>
        <v>190306.828007</v>
      </c>
      <c r="BR15" s="284">
        <f>IFERROR(BQ15/BN15-1,0)</f>
        <v>3.1695928709891685E-3</v>
      </c>
      <c r="BS15" s="285">
        <f t="shared" si="25"/>
        <v>3.5459633101679433E-2</v>
      </c>
      <c r="BT15" s="465">
        <f>SUM(BT16:BT25)</f>
        <v>231376.28711993201</v>
      </c>
      <c r="BU15" s="284">
        <f>IFERROR(BT15/BQ15-1,0)</f>
        <v>0.21580654537219934</v>
      </c>
      <c r="BV15" s="285">
        <f t="shared" si="26"/>
        <v>0.22922601878052418</v>
      </c>
      <c r="BW15" s="465">
        <f>SUM(BW16:BW25)</f>
        <v>231473.519829</v>
      </c>
      <c r="BX15" s="284">
        <f>IFERROR(BW15/BT15-1,0)</f>
        <v>4.2023627519616191E-4</v>
      </c>
      <c r="BY15" s="285">
        <f t="shared" si="27"/>
        <v>0.2278731162383727</v>
      </c>
      <c r="BZ15" s="465">
        <f>SUM(BZ16:BZ25)</f>
        <v>374176.98560800002</v>
      </c>
      <c r="CA15" s="284">
        <f>IFERROR(BZ15/BW15-1,0)</f>
        <v>0.61650017628116416</v>
      </c>
      <c r="CB15" s="286">
        <f t="shared" si="28"/>
        <v>0.97240938880166983</v>
      </c>
      <c r="CC15" s="464">
        <f>SUM(CC16:CC25)</f>
        <v>377672.62900000002</v>
      </c>
      <c r="CD15" s="284">
        <f>IFERROR(CC15/BZ15-1,0)</f>
        <v>9.3422191274536992E-3</v>
      </c>
      <c r="CE15" s="285">
        <f t="shared" si="29"/>
        <v>0.98454586708842728</v>
      </c>
      <c r="CF15" s="465">
        <f>SUM(CF16:CF25)</f>
        <v>378116.10912600002</v>
      </c>
      <c r="CG15" s="284">
        <f t="shared" si="30"/>
        <v>1.1742448140186212E-3</v>
      </c>
      <c r="CH15" s="285">
        <f t="shared" si="31"/>
        <v>0.63420423861329667</v>
      </c>
      <c r="CI15" s="465">
        <f>SUM(CI16:CI25)</f>
        <v>382033.48029700003</v>
      </c>
      <c r="CJ15" s="284">
        <f t="shared" si="32"/>
        <v>1.0360233474460578E-2</v>
      </c>
      <c r="CK15" s="285">
        <f t="shared" si="33"/>
        <v>0.65044140072361412</v>
      </c>
      <c r="CL15" s="465">
        <f>SUM(CL16:CL25)</f>
        <v>408877.50000000006</v>
      </c>
      <c r="CM15" s="284">
        <f t="shared" si="34"/>
        <v>7.0266144428312804E-2</v>
      </c>
      <c r="CN15" s="285">
        <f t="shared" si="35"/>
        <v>9.2738238124440375E-2</v>
      </c>
      <c r="CO15" s="464">
        <f>SUM(CO16:CO26)</f>
        <v>437184</v>
      </c>
      <c r="CP15" s="284">
        <f>IFERROR(CO15/CL15-1,0)</f>
        <v>6.922978153603454E-2</v>
      </c>
      <c r="CQ15" s="285">
        <f t="shared" si="68"/>
        <v>0.15757395805349717</v>
      </c>
      <c r="CR15" s="464">
        <f>SUM(CR16:CR26)</f>
        <v>457021.83223599999</v>
      </c>
      <c r="CS15" s="284">
        <f t="shared" si="37"/>
        <v>4.537639125860049E-2</v>
      </c>
      <c r="CT15" s="285">
        <f t="shared" si="38"/>
        <v>0.2086811992548725</v>
      </c>
      <c r="CU15" s="464">
        <f>SUM(CU16:CU26)</f>
        <v>0</v>
      </c>
      <c r="CV15" s="284">
        <f t="shared" si="39"/>
        <v>-1</v>
      </c>
      <c r="CW15" s="285">
        <f t="shared" si="40"/>
        <v>-1</v>
      </c>
      <c r="CX15" s="464">
        <f>SUM(CX16:CX26)</f>
        <v>0</v>
      </c>
      <c r="CY15" s="284">
        <f t="shared" si="41"/>
        <v>0</v>
      </c>
      <c r="CZ15" s="285">
        <f t="shared" si="42"/>
        <v>-1</v>
      </c>
    </row>
    <row r="16" spans="1:104" ht="16.2" customHeight="1">
      <c r="A16" s="141">
        <f t="shared" si="4"/>
        <v>15</v>
      </c>
      <c r="B16" s="23"/>
      <c r="C16" s="24" t="s">
        <v>125</v>
      </c>
      <c r="D16" s="636" t="s">
        <v>359</v>
      </c>
      <c r="E16" s="486">
        <v>158.179079</v>
      </c>
      <c r="F16" s="487">
        <v>386.900328</v>
      </c>
      <c r="G16" s="487">
        <v>406.90980400000001</v>
      </c>
      <c r="H16" s="487">
        <v>419.30556799999999</v>
      </c>
      <c r="I16" s="496">
        <v>389.43114300000002</v>
      </c>
      <c r="J16" s="287">
        <f t="shared" si="5"/>
        <v>-7.1247384437308381E-2</v>
      </c>
      <c r="K16" s="288">
        <f t="shared" si="6"/>
        <v>1.4619636519694241</v>
      </c>
      <c r="L16" s="134">
        <v>402.37009499999999</v>
      </c>
      <c r="M16" s="287">
        <f t="shared" si="7"/>
        <v>3.3225262623641783E-2</v>
      </c>
      <c r="N16" s="288">
        <f t="shared" si="8"/>
        <v>3.9983855997144602E-2</v>
      </c>
      <c r="O16" s="134">
        <v>417.62024400000001</v>
      </c>
      <c r="P16" s="287">
        <f t="shared" si="9"/>
        <v>3.790080125114681E-2</v>
      </c>
      <c r="Q16" s="288">
        <f t="shared" si="10"/>
        <v>2.6321410530575573E-2</v>
      </c>
      <c r="R16" s="134">
        <v>432.66153600000001</v>
      </c>
      <c r="S16" s="287">
        <f t="shared" si="11"/>
        <v>3.6016673559531753E-2</v>
      </c>
      <c r="T16" s="289">
        <f t="shared" si="12"/>
        <v>3.1852589183838376E-2</v>
      </c>
      <c r="U16" s="496">
        <v>437.06635899999998</v>
      </c>
      <c r="V16" s="287">
        <f t="shared" ref="V16:V25" si="84">(IFERROR(U16/R16-1,0))</f>
        <v>1.0180759400807871E-2</v>
      </c>
      <c r="W16" s="288">
        <f t="shared" si="13"/>
        <v>0.12231999637481472</v>
      </c>
      <c r="X16" s="134">
        <v>238.58311399999999</v>
      </c>
      <c r="Y16" s="287">
        <f t="shared" ref="Y16:Y25" si="85">(IFERROR(X16/U16-1,0))</f>
        <v>-0.45412610902867501</v>
      </c>
      <c r="Z16" s="288">
        <f t="shared" si="14"/>
        <v>-0.40705555168059893</v>
      </c>
      <c r="AA16" s="134">
        <v>253.28773699999999</v>
      </c>
      <c r="AB16" s="287">
        <f t="shared" ref="AB16:AB25" si="86">(IFERROR(AA16/X16-1,0))</f>
        <v>6.1633125469223282E-2</v>
      </c>
      <c r="AC16" s="288">
        <f t="shared" si="15"/>
        <v>-0.39349746416986442</v>
      </c>
      <c r="AD16" s="134">
        <v>275.74344100000002</v>
      </c>
      <c r="AE16" s="287">
        <f t="shared" ref="AE16:AE25" si="87">(IFERROR(AD16/AA16-1,0))</f>
        <v>8.8656893799797354E-2</v>
      </c>
      <c r="AF16" s="289">
        <f t="shared" si="16"/>
        <v>-0.36268094559716069</v>
      </c>
      <c r="AG16" s="496">
        <v>280.96229599999998</v>
      </c>
      <c r="AH16" s="287">
        <f t="shared" ref="AH16:AH25" si="88">(IFERROR(AG16/AD16-1,0))</f>
        <v>1.8926488264139563E-2</v>
      </c>
      <c r="AI16" s="288">
        <f t="shared" si="17"/>
        <v>-0.35716329977251804</v>
      </c>
      <c r="AJ16" s="134">
        <v>288.62347</v>
      </c>
      <c r="AK16" s="287">
        <f t="shared" ref="AK16:AK25" si="89">(IFERROR(AJ16/AG16-1,0))</f>
        <v>2.7267623126200569E-2</v>
      </c>
      <c r="AL16" s="288">
        <f t="shared" si="18"/>
        <v>0.20973972198216839</v>
      </c>
      <c r="AM16" s="134">
        <v>291.91259600000001</v>
      </c>
      <c r="AN16" s="287">
        <f t="shared" ref="AN16:AN25" si="90">(IFERROR(AM16/AJ16-1,0))</f>
        <v>1.1395906230356134E-2</v>
      </c>
      <c r="AO16" s="288">
        <f t="shared" si="19"/>
        <v>0.15249399539623187</v>
      </c>
      <c r="AP16" s="134">
        <v>297.20755800000001</v>
      </c>
      <c r="AQ16" s="287">
        <f t="shared" ref="AQ16:AQ25" si="91">(IFERROR(AP16/AM16-1,0))</f>
        <v>1.8138860989746375E-2</v>
      </c>
      <c r="AR16" s="289">
        <f t="shared" si="20"/>
        <v>7.7840897764092087E-2</v>
      </c>
      <c r="AS16" s="496">
        <v>518.08140800000001</v>
      </c>
      <c r="AT16" s="287">
        <f>(IFERROR(AS16/AP16-1,0))</f>
        <v>0.74316363785069028</v>
      </c>
      <c r="AU16" s="288">
        <f t="shared" si="21"/>
        <v>0.84395349616590565</v>
      </c>
      <c r="AV16" s="134">
        <v>525.72800800000005</v>
      </c>
      <c r="AW16" s="287">
        <f>(IFERROR(AV16/AS16-1,0))</f>
        <v>1.4759456490668121E-2</v>
      </c>
      <c r="AX16" s="288">
        <f t="shared" si="22"/>
        <v>0.82150123827421262</v>
      </c>
      <c r="AY16" s="134">
        <v>424.33585799999997</v>
      </c>
      <c r="AZ16" s="287">
        <f>(IFERROR(AY16/AV16-1,0))</f>
        <v>-0.19286046863989803</v>
      </c>
      <c r="BA16" s="288">
        <f t="shared" si="23"/>
        <v>0.45364010945248823</v>
      </c>
      <c r="BB16" s="134">
        <v>331.655306</v>
      </c>
      <c r="BC16" s="287">
        <f>(IFERROR(BB16/AY16-1,0))</f>
        <v>-0.21841319853765451</v>
      </c>
      <c r="BD16" s="289">
        <f t="shared" si="24"/>
        <v>0.11590468368910045</v>
      </c>
      <c r="BE16" s="466">
        <v>107.422</v>
      </c>
      <c r="BF16" s="287">
        <f t="shared" ref="BF16:BF25" si="92">(IFERROR(BE16/BB16-1,0))</f>
        <v>-0.67610347835050166</v>
      </c>
      <c r="BG16" s="288">
        <f t="shared" si="0"/>
        <v>-0.79265420773408646</v>
      </c>
      <c r="BH16" s="467">
        <v>107.422</v>
      </c>
      <c r="BI16" s="287">
        <f t="shared" ref="BI16:BI25" si="93">(IFERROR(BH16/BE16-1,0))</f>
        <v>0</v>
      </c>
      <c r="BJ16" s="288">
        <f t="shared" si="1"/>
        <v>-0.79567000737004678</v>
      </c>
      <c r="BK16" s="467">
        <v>107.422</v>
      </c>
      <c r="BL16" s="287">
        <f t="shared" ref="BL16:BL25" si="94">(IFERROR(BK16/BH16-1,0))</f>
        <v>0</v>
      </c>
      <c r="BM16" s="288">
        <f t="shared" si="2"/>
        <v>-0.74684675363918918</v>
      </c>
      <c r="BN16" s="467">
        <v>107.422</v>
      </c>
      <c r="BO16" s="287">
        <f t="shared" ref="BO16:BO25" si="95">(IFERROR(BN16/BK16-1,0))</f>
        <v>0</v>
      </c>
      <c r="BP16" s="289">
        <f t="shared" si="3"/>
        <v>-0.67610347835050166</v>
      </c>
      <c r="BQ16" s="466">
        <v>107.422</v>
      </c>
      <c r="BR16" s="287">
        <f t="shared" ref="BR16:BR25" si="96">(IFERROR(BQ16/BN16-1,0))</f>
        <v>0</v>
      </c>
      <c r="BS16" s="288">
        <f t="shared" si="25"/>
        <v>0</v>
      </c>
      <c r="BT16" s="467">
        <v>107.422</v>
      </c>
      <c r="BU16" s="287">
        <f t="shared" ref="BU16:BU25" si="97">(IFERROR(BT16/BQ16-1,0))</f>
        <v>0</v>
      </c>
      <c r="BV16" s="288">
        <f t="shared" si="26"/>
        <v>0</v>
      </c>
      <c r="BW16" s="467">
        <v>107.422</v>
      </c>
      <c r="BX16" s="287">
        <f t="shared" ref="BX16:BX25" si="98">(IFERROR(BW16/BT16-1,0))</f>
        <v>0</v>
      </c>
      <c r="BY16" s="288">
        <f t="shared" si="27"/>
        <v>0</v>
      </c>
      <c r="BZ16" s="467">
        <v>107.422</v>
      </c>
      <c r="CA16" s="287">
        <f t="shared" ref="CA16:CA25" si="99">(IFERROR(BZ16/BW16-1,0))</f>
        <v>0</v>
      </c>
      <c r="CB16" s="289">
        <f t="shared" si="28"/>
        <v>0</v>
      </c>
      <c r="CC16" s="496">
        <v>0</v>
      </c>
      <c r="CD16" s="287">
        <f t="shared" ref="CD16:CD25" si="100">(IFERROR(CC16/BZ16-1,0))</f>
        <v>-1</v>
      </c>
      <c r="CE16" s="288">
        <f t="shared" si="29"/>
        <v>-1</v>
      </c>
      <c r="CF16" s="134">
        <v>0</v>
      </c>
      <c r="CG16" s="287">
        <f t="shared" si="30"/>
        <v>0</v>
      </c>
      <c r="CH16" s="288">
        <f t="shared" si="31"/>
        <v>-1</v>
      </c>
      <c r="CI16" s="134">
        <v>0</v>
      </c>
      <c r="CJ16" s="287">
        <f t="shared" si="32"/>
        <v>0</v>
      </c>
      <c r="CK16" s="288">
        <f t="shared" si="33"/>
        <v>-1</v>
      </c>
      <c r="CL16" s="467">
        <v>107.4</v>
      </c>
      <c r="CM16" s="287">
        <f t="shared" si="34"/>
        <v>0</v>
      </c>
      <c r="CN16" s="288">
        <f t="shared" si="35"/>
        <v>-2.0479976168752412E-4</v>
      </c>
      <c r="CO16" s="496">
        <v>108</v>
      </c>
      <c r="CP16" s="287">
        <f t="shared" ref="CP16:CP25" si="101">(IFERROR(CO16/CL16-1,0))</f>
        <v>5.5865921787709993E-3</v>
      </c>
      <c r="CQ16" s="288">
        <f t="shared" si="68"/>
        <v>0</v>
      </c>
      <c r="CR16" s="496">
        <v>3284.262397</v>
      </c>
      <c r="CS16" s="287">
        <f t="shared" si="37"/>
        <v>29.40983700925926</v>
      </c>
      <c r="CT16" s="288">
        <f t="shared" si="38"/>
        <v>0</v>
      </c>
      <c r="CU16" s="496">
        <v>0</v>
      </c>
      <c r="CV16" s="287">
        <f t="shared" si="39"/>
        <v>-1</v>
      </c>
      <c r="CW16" s="288">
        <f t="shared" si="40"/>
        <v>0</v>
      </c>
      <c r="CX16" s="496">
        <v>0</v>
      </c>
      <c r="CY16" s="287">
        <f t="shared" si="41"/>
        <v>0</v>
      </c>
      <c r="CZ16" s="288">
        <f t="shared" si="42"/>
        <v>-1</v>
      </c>
    </row>
    <row r="17" spans="1:104" ht="16.2" customHeight="1">
      <c r="A17" s="141">
        <f t="shared" si="4"/>
        <v>16</v>
      </c>
      <c r="B17" s="23"/>
      <c r="C17" s="24" t="s">
        <v>218</v>
      </c>
      <c r="D17" s="636" t="s">
        <v>221</v>
      </c>
      <c r="E17" s="486">
        <v>0</v>
      </c>
      <c r="F17" s="487">
        <v>0</v>
      </c>
      <c r="G17" s="487">
        <v>0</v>
      </c>
      <c r="H17" s="487">
        <v>0</v>
      </c>
      <c r="I17" s="496">
        <v>0</v>
      </c>
      <c r="J17" s="287">
        <v>0</v>
      </c>
      <c r="K17" s="288">
        <v>0</v>
      </c>
      <c r="L17" s="134">
        <v>0</v>
      </c>
      <c r="M17" s="287">
        <v>0</v>
      </c>
      <c r="N17" s="288">
        <v>0</v>
      </c>
      <c r="O17" s="134">
        <v>0</v>
      </c>
      <c r="P17" s="287">
        <v>0</v>
      </c>
      <c r="Q17" s="288">
        <v>0</v>
      </c>
      <c r="R17" s="134">
        <v>0</v>
      </c>
      <c r="S17" s="287">
        <v>0</v>
      </c>
      <c r="T17" s="289">
        <v>0</v>
      </c>
      <c r="U17" s="496">
        <v>0</v>
      </c>
      <c r="V17" s="287">
        <v>0</v>
      </c>
      <c r="W17" s="288">
        <v>0</v>
      </c>
      <c r="X17" s="134">
        <v>0</v>
      </c>
      <c r="Y17" s="287">
        <v>0</v>
      </c>
      <c r="Z17" s="288">
        <v>0</v>
      </c>
      <c r="AA17" s="134">
        <v>0</v>
      </c>
      <c r="AB17" s="287">
        <v>0</v>
      </c>
      <c r="AC17" s="288">
        <v>0</v>
      </c>
      <c r="AD17" s="134">
        <v>0</v>
      </c>
      <c r="AE17" s="287">
        <v>0</v>
      </c>
      <c r="AF17" s="289">
        <v>0</v>
      </c>
      <c r="AG17" s="496">
        <v>0</v>
      </c>
      <c r="AH17" s="287">
        <v>0</v>
      </c>
      <c r="AI17" s="288">
        <v>0</v>
      </c>
      <c r="AJ17" s="134">
        <v>0</v>
      </c>
      <c r="AK17" s="287">
        <v>0</v>
      </c>
      <c r="AL17" s="288">
        <v>0</v>
      </c>
      <c r="AM17" s="134">
        <v>0</v>
      </c>
      <c r="AN17" s="287">
        <v>0</v>
      </c>
      <c r="AO17" s="288">
        <v>0</v>
      </c>
      <c r="AP17" s="134">
        <v>0</v>
      </c>
      <c r="AQ17" s="287">
        <v>0</v>
      </c>
      <c r="AR17" s="289">
        <v>0</v>
      </c>
      <c r="AS17" s="496">
        <v>0</v>
      </c>
      <c r="AT17" s="287">
        <v>0</v>
      </c>
      <c r="AU17" s="288">
        <v>0</v>
      </c>
      <c r="AV17" s="134">
        <v>0</v>
      </c>
      <c r="AW17" s="287">
        <v>0</v>
      </c>
      <c r="AX17" s="288">
        <v>0</v>
      </c>
      <c r="AY17" s="134">
        <v>0</v>
      </c>
      <c r="AZ17" s="287">
        <v>0</v>
      </c>
      <c r="BA17" s="288">
        <v>0</v>
      </c>
      <c r="BB17" s="134">
        <v>0</v>
      </c>
      <c r="BC17" s="287">
        <v>0</v>
      </c>
      <c r="BD17" s="289">
        <v>0</v>
      </c>
      <c r="BE17" s="466">
        <v>0</v>
      </c>
      <c r="BF17" s="287">
        <f t="shared" si="92"/>
        <v>0</v>
      </c>
      <c r="BG17" s="288">
        <f t="shared" si="0"/>
        <v>0</v>
      </c>
      <c r="BH17" s="467">
        <v>0</v>
      </c>
      <c r="BI17" s="287">
        <f t="shared" si="93"/>
        <v>0</v>
      </c>
      <c r="BJ17" s="288">
        <f t="shared" si="1"/>
        <v>0</v>
      </c>
      <c r="BK17" s="467">
        <v>0</v>
      </c>
      <c r="BL17" s="287">
        <f t="shared" si="94"/>
        <v>0</v>
      </c>
      <c r="BM17" s="288">
        <f t="shared" si="2"/>
        <v>0</v>
      </c>
      <c r="BN17" s="467">
        <v>0</v>
      </c>
      <c r="BO17" s="287">
        <f t="shared" si="95"/>
        <v>0</v>
      </c>
      <c r="BP17" s="289">
        <f t="shared" si="3"/>
        <v>0</v>
      </c>
      <c r="BQ17" s="466">
        <v>0</v>
      </c>
      <c r="BR17" s="287">
        <f t="shared" si="96"/>
        <v>0</v>
      </c>
      <c r="BS17" s="288">
        <f t="shared" si="25"/>
        <v>0</v>
      </c>
      <c r="BT17" s="467">
        <v>39124.212628000001</v>
      </c>
      <c r="BU17" s="287">
        <f t="shared" si="97"/>
        <v>0</v>
      </c>
      <c r="BV17" s="288">
        <f t="shared" si="26"/>
        <v>0</v>
      </c>
      <c r="BW17" s="467">
        <v>38303.347136999997</v>
      </c>
      <c r="BX17" s="287">
        <f t="shared" si="98"/>
        <v>-2.0981009862228839E-2</v>
      </c>
      <c r="BY17" s="288">
        <f t="shared" si="27"/>
        <v>0</v>
      </c>
      <c r="BZ17" s="134">
        <v>0</v>
      </c>
      <c r="CA17" s="287">
        <f t="shared" si="99"/>
        <v>-1</v>
      </c>
      <c r="CB17" s="289">
        <f t="shared" si="28"/>
        <v>0</v>
      </c>
      <c r="CC17" s="496">
        <v>0</v>
      </c>
      <c r="CD17" s="287">
        <f t="shared" si="100"/>
        <v>0</v>
      </c>
      <c r="CE17" s="288">
        <f t="shared" si="29"/>
        <v>0</v>
      </c>
      <c r="CF17" s="134">
        <v>0</v>
      </c>
      <c r="CG17" s="287">
        <f t="shared" si="30"/>
        <v>0</v>
      </c>
      <c r="CH17" s="288">
        <f t="shared" si="31"/>
        <v>-1</v>
      </c>
      <c r="CI17" s="134">
        <v>0</v>
      </c>
      <c r="CJ17" s="287">
        <f t="shared" si="32"/>
        <v>0</v>
      </c>
      <c r="CK17" s="288">
        <f t="shared" si="33"/>
        <v>-1</v>
      </c>
      <c r="CL17" s="134">
        <v>0</v>
      </c>
      <c r="CM17" s="287">
        <f t="shared" si="34"/>
        <v>0</v>
      </c>
      <c r="CN17" s="288">
        <f t="shared" si="35"/>
        <v>0</v>
      </c>
      <c r="CO17" s="496">
        <v>0</v>
      </c>
      <c r="CP17" s="287">
        <f t="shared" si="101"/>
        <v>0</v>
      </c>
      <c r="CQ17" s="288">
        <f t="shared" si="68"/>
        <v>0</v>
      </c>
      <c r="CR17" s="496">
        <v>0</v>
      </c>
      <c r="CS17" s="287">
        <f t="shared" si="37"/>
        <v>0</v>
      </c>
      <c r="CT17" s="288">
        <f t="shared" si="38"/>
        <v>0</v>
      </c>
      <c r="CU17" s="496">
        <v>0</v>
      </c>
      <c r="CV17" s="287">
        <f t="shared" si="39"/>
        <v>0</v>
      </c>
      <c r="CW17" s="288">
        <f t="shared" si="40"/>
        <v>0</v>
      </c>
      <c r="CX17" s="496">
        <v>0</v>
      </c>
      <c r="CY17" s="287">
        <f t="shared" si="41"/>
        <v>0</v>
      </c>
      <c r="CZ17" s="288">
        <f t="shared" si="42"/>
        <v>0</v>
      </c>
    </row>
    <row r="18" spans="1:104" ht="16.2" customHeight="1">
      <c r="A18" s="141">
        <f t="shared" si="4"/>
        <v>17</v>
      </c>
      <c r="B18" s="23"/>
      <c r="C18" s="24" t="s">
        <v>219</v>
      </c>
      <c r="D18" s="636" t="s">
        <v>227</v>
      </c>
      <c r="E18" s="486">
        <v>0</v>
      </c>
      <c r="F18" s="487">
        <v>0</v>
      </c>
      <c r="G18" s="487">
        <v>0</v>
      </c>
      <c r="H18" s="487">
        <v>0</v>
      </c>
      <c r="I18" s="496">
        <v>0</v>
      </c>
      <c r="J18" s="287">
        <v>0</v>
      </c>
      <c r="K18" s="288">
        <v>0</v>
      </c>
      <c r="L18" s="134">
        <v>0</v>
      </c>
      <c r="M18" s="287">
        <v>0</v>
      </c>
      <c r="N18" s="288">
        <v>0</v>
      </c>
      <c r="O18" s="134">
        <v>0</v>
      </c>
      <c r="P18" s="287">
        <v>0</v>
      </c>
      <c r="Q18" s="288">
        <v>0</v>
      </c>
      <c r="R18" s="134">
        <v>0</v>
      </c>
      <c r="S18" s="287">
        <v>0</v>
      </c>
      <c r="T18" s="289">
        <v>0</v>
      </c>
      <c r="U18" s="496">
        <v>0</v>
      </c>
      <c r="V18" s="287">
        <v>0</v>
      </c>
      <c r="W18" s="288">
        <v>0</v>
      </c>
      <c r="X18" s="134">
        <v>0</v>
      </c>
      <c r="Y18" s="287">
        <v>0</v>
      </c>
      <c r="Z18" s="288">
        <v>0</v>
      </c>
      <c r="AA18" s="134">
        <v>0</v>
      </c>
      <c r="AB18" s="287">
        <v>0</v>
      </c>
      <c r="AC18" s="288">
        <v>0</v>
      </c>
      <c r="AD18" s="134">
        <v>0</v>
      </c>
      <c r="AE18" s="287">
        <v>0</v>
      </c>
      <c r="AF18" s="289">
        <v>0</v>
      </c>
      <c r="AG18" s="496">
        <v>0</v>
      </c>
      <c r="AH18" s="287">
        <v>0</v>
      </c>
      <c r="AI18" s="288">
        <v>0</v>
      </c>
      <c r="AJ18" s="134">
        <v>0</v>
      </c>
      <c r="AK18" s="287">
        <v>0</v>
      </c>
      <c r="AL18" s="288">
        <v>0</v>
      </c>
      <c r="AM18" s="134">
        <v>0</v>
      </c>
      <c r="AN18" s="287">
        <v>0</v>
      </c>
      <c r="AO18" s="288">
        <v>0</v>
      </c>
      <c r="AP18" s="134">
        <v>0</v>
      </c>
      <c r="AQ18" s="287">
        <v>0</v>
      </c>
      <c r="AR18" s="289">
        <v>0</v>
      </c>
      <c r="AS18" s="496">
        <v>0</v>
      </c>
      <c r="AT18" s="287">
        <v>0</v>
      </c>
      <c r="AU18" s="288">
        <v>0</v>
      </c>
      <c r="AV18" s="134">
        <v>0</v>
      </c>
      <c r="AW18" s="287">
        <v>0</v>
      </c>
      <c r="AX18" s="288">
        <v>0</v>
      </c>
      <c r="AY18" s="134">
        <v>0</v>
      </c>
      <c r="AZ18" s="287">
        <v>0</v>
      </c>
      <c r="BA18" s="288">
        <v>0</v>
      </c>
      <c r="BB18" s="134">
        <v>0</v>
      </c>
      <c r="BC18" s="287">
        <v>0</v>
      </c>
      <c r="BD18" s="289">
        <v>0</v>
      </c>
      <c r="BE18" s="466">
        <v>0</v>
      </c>
      <c r="BF18" s="287">
        <f t="shared" si="92"/>
        <v>0</v>
      </c>
      <c r="BG18" s="288">
        <f t="shared" si="0"/>
        <v>0</v>
      </c>
      <c r="BH18" s="467">
        <v>0</v>
      </c>
      <c r="BI18" s="287">
        <f t="shared" si="93"/>
        <v>0</v>
      </c>
      <c r="BJ18" s="288">
        <f t="shared" si="1"/>
        <v>0</v>
      </c>
      <c r="BK18" s="467">
        <v>0</v>
      </c>
      <c r="BL18" s="287">
        <f t="shared" si="94"/>
        <v>0</v>
      </c>
      <c r="BM18" s="288">
        <f t="shared" si="2"/>
        <v>0</v>
      </c>
      <c r="BN18" s="467">
        <v>0</v>
      </c>
      <c r="BO18" s="287">
        <f t="shared" si="95"/>
        <v>0</v>
      </c>
      <c r="BP18" s="289">
        <f t="shared" si="3"/>
        <v>0</v>
      </c>
      <c r="BQ18" s="466">
        <v>0</v>
      </c>
      <c r="BR18" s="287">
        <f t="shared" si="96"/>
        <v>0</v>
      </c>
      <c r="BS18" s="288">
        <f t="shared" si="25"/>
        <v>0</v>
      </c>
      <c r="BT18" s="467">
        <v>645</v>
      </c>
      <c r="BU18" s="287">
        <f t="shared" si="97"/>
        <v>0</v>
      </c>
      <c r="BV18" s="288">
        <f t="shared" si="26"/>
        <v>0</v>
      </c>
      <c r="BW18" s="467">
        <v>0</v>
      </c>
      <c r="BX18" s="287">
        <f t="shared" si="98"/>
        <v>-1</v>
      </c>
      <c r="BY18" s="288">
        <f t="shared" si="27"/>
        <v>0</v>
      </c>
      <c r="BZ18" s="134">
        <v>0</v>
      </c>
      <c r="CA18" s="287">
        <f t="shared" si="99"/>
        <v>0</v>
      </c>
      <c r="CB18" s="289">
        <f t="shared" si="28"/>
        <v>0</v>
      </c>
      <c r="CC18" s="496">
        <v>0</v>
      </c>
      <c r="CD18" s="287">
        <f t="shared" si="100"/>
        <v>0</v>
      </c>
      <c r="CE18" s="288">
        <f t="shared" si="29"/>
        <v>0</v>
      </c>
      <c r="CF18" s="134">
        <v>0</v>
      </c>
      <c r="CG18" s="287">
        <f t="shared" si="30"/>
        <v>0</v>
      </c>
      <c r="CH18" s="288">
        <f t="shared" si="31"/>
        <v>-1</v>
      </c>
      <c r="CI18" s="134">
        <v>0</v>
      </c>
      <c r="CJ18" s="287">
        <f t="shared" si="32"/>
        <v>0</v>
      </c>
      <c r="CK18" s="288">
        <f t="shared" si="33"/>
        <v>0</v>
      </c>
      <c r="CL18" s="134">
        <v>0</v>
      </c>
      <c r="CM18" s="287">
        <f t="shared" si="34"/>
        <v>0</v>
      </c>
      <c r="CN18" s="288">
        <f t="shared" si="35"/>
        <v>0</v>
      </c>
      <c r="CO18" s="496">
        <v>0</v>
      </c>
      <c r="CP18" s="287">
        <f t="shared" si="101"/>
        <v>0</v>
      </c>
      <c r="CQ18" s="288">
        <f t="shared" si="68"/>
        <v>0</v>
      </c>
      <c r="CR18" s="496">
        <v>0</v>
      </c>
      <c r="CS18" s="287">
        <f t="shared" si="37"/>
        <v>0</v>
      </c>
      <c r="CT18" s="288">
        <f t="shared" si="38"/>
        <v>0</v>
      </c>
      <c r="CU18" s="496">
        <v>0</v>
      </c>
      <c r="CV18" s="287">
        <f t="shared" si="39"/>
        <v>0</v>
      </c>
      <c r="CW18" s="288">
        <f t="shared" si="40"/>
        <v>0</v>
      </c>
      <c r="CX18" s="496">
        <v>0</v>
      </c>
      <c r="CY18" s="287">
        <f t="shared" si="41"/>
        <v>0</v>
      </c>
      <c r="CZ18" s="288">
        <f t="shared" si="42"/>
        <v>0</v>
      </c>
    </row>
    <row r="19" spans="1:104" ht="16.2" customHeight="1">
      <c r="A19" s="141">
        <f t="shared" si="4"/>
        <v>18</v>
      </c>
      <c r="B19" s="23"/>
      <c r="C19" s="24" t="s">
        <v>20</v>
      </c>
      <c r="D19" s="636" t="s">
        <v>200</v>
      </c>
      <c r="E19" s="486">
        <v>0</v>
      </c>
      <c r="F19" s="487">
        <v>0</v>
      </c>
      <c r="G19" s="487">
        <v>0</v>
      </c>
      <c r="H19" s="487">
        <v>0</v>
      </c>
      <c r="I19" s="496">
        <v>0</v>
      </c>
      <c r="J19" s="287">
        <v>0</v>
      </c>
      <c r="K19" s="288">
        <v>0</v>
      </c>
      <c r="L19" s="134">
        <v>0</v>
      </c>
      <c r="M19" s="287">
        <v>0</v>
      </c>
      <c r="N19" s="288">
        <v>0</v>
      </c>
      <c r="O19" s="134">
        <v>0</v>
      </c>
      <c r="P19" s="287">
        <v>0</v>
      </c>
      <c r="Q19" s="288">
        <v>0</v>
      </c>
      <c r="R19" s="134">
        <v>0</v>
      </c>
      <c r="S19" s="287">
        <v>0</v>
      </c>
      <c r="T19" s="289">
        <v>0</v>
      </c>
      <c r="U19" s="496">
        <v>0</v>
      </c>
      <c r="V19" s="287">
        <v>0</v>
      </c>
      <c r="W19" s="288">
        <v>0</v>
      </c>
      <c r="X19" s="134">
        <v>0</v>
      </c>
      <c r="Y19" s="287">
        <v>0</v>
      </c>
      <c r="Z19" s="288">
        <v>0</v>
      </c>
      <c r="AA19" s="134">
        <v>0</v>
      </c>
      <c r="AB19" s="287">
        <v>0</v>
      </c>
      <c r="AC19" s="288">
        <v>0</v>
      </c>
      <c r="AD19" s="134">
        <v>0</v>
      </c>
      <c r="AE19" s="287">
        <v>0</v>
      </c>
      <c r="AF19" s="289">
        <v>0</v>
      </c>
      <c r="AG19" s="496">
        <v>0</v>
      </c>
      <c r="AH19" s="287">
        <v>0</v>
      </c>
      <c r="AI19" s="288">
        <v>0</v>
      </c>
      <c r="AJ19" s="134">
        <v>0</v>
      </c>
      <c r="AK19" s="287">
        <v>0</v>
      </c>
      <c r="AL19" s="288">
        <v>0</v>
      </c>
      <c r="AM19" s="134">
        <v>0</v>
      </c>
      <c r="AN19" s="287">
        <v>0</v>
      </c>
      <c r="AO19" s="288">
        <v>0</v>
      </c>
      <c r="AP19" s="134">
        <v>0</v>
      </c>
      <c r="AQ19" s="287">
        <v>0</v>
      </c>
      <c r="AR19" s="289">
        <v>0</v>
      </c>
      <c r="AS19" s="496">
        <v>0</v>
      </c>
      <c r="AT19" s="287">
        <v>0</v>
      </c>
      <c r="AU19" s="288">
        <v>0</v>
      </c>
      <c r="AV19" s="134">
        <v>0</v>
      </c>
      <c r="AW19" s="287">
        <v>0</v>
      </c>
      <c r="AX19" s="288">
        <v>0</v>
      </c>
      <c r="AY19" s="134">
        <v>0</v>
      </c>
      <c r="AZ19" s="287">
        <v>0</v>
      </c>
      <c r="BA19" s="288">
        <v>0</v>
      </c>
      <c r="BB19" s="134">
        <v>0</v>
      </c>
      <c r="BC19" s="287">
        <v>0</v>
      </c>
      <c r="BD19" s="289">
        <v>0</v>
      </c>
      <c r="BE19" s="466">
        <v>0</v>
      </c>
      <c r="BF19" s="287">
        <f t="shared" si="92"/>
        <v>0</v>
      </c>
      <c r="BG19" s="288">
        <f t="shared" si="0"/>
        <v>0</v>
      </c>
      <c r="BH19" s="467">
        <v>2999.9585670000001</v>
      </c>
      <c r="BI19" s="287">
        <f t="shared" si="93"/>
        <v>0</v>
      </c>
      <c r="BJ19" s="288">
        <f t="shared" si="1"/>
        <v>0</v>
      </c>
      <c r="BK19" s="467">
        <v>2999.9585670000001</v>
      </c>
      <c r="BL19" s="287">
        <f t="shared" si="94"/>
        <v>0</v>
      </c>
      <c r="BM19" s="288">
        <f t="shared" si="2"/>
        <v>0</v>
      </c>
      <c r="BN19" s="467">
        <v>2999.9585670000001</v>
      </c>
      <c r="BO19" s="287">
        <f t="shared" si="95"/>
        <v>0</v>
      </c>
      <c r="BP19" s="289">
        <f t="shared" si="3"/>
        <v>0</v>
      </c>
      <c r="BQ19" s="466">
        <v>2999.9585670000001</v>
      </c>
      <c r="BR19" s="287">
        <f t="shared" si="96"/>
        <v>0</v>
      </c>
      <c r="BS19" s="288">
        <f t="shared" si="25"/>
        <v>0</v>
      </c>
      <c r="BT19" s="467">
        <v>2999.9585670000001</v>
      </c>
      <c r="BU19" s="287">
        <f t="shared" si="97"/>
        <v>0</v>
      </c>
      <c r="BV19" s="288">
        <f t="shared" si="26"/>
        <v>0</v>
      </c>
      <c r="BW19" s="467">
        <v>2999.9585670000001</v>
      </c>
      <c r="BX19" s="287">
        <f t="shared" si="98"/>
        <v>0</v>
      </c>
      <c r="BY19" s="288">
        <f t="shared" si="27"/>
        <v>0</v>
      </c>
      <c r="BZ19" s="467">
        <v>9124.3066610000005</v>
      </c>
      <c r="CA19" s="287">
        <f t="shared" si="99"/>
        <v>2.0414775595132411</v>
      </c>
      <c r="CB19" s="289">
        <f t="shared" si="28"/>
        <v>2.0414775595132411</v>
      </c>
      <c r="CC19" s="466">
        <v>9124</v>
      </c>
      <c r="CD19" s="287">
        <f t="shared" si="100"/>
        <v>-3.3609238640708305E-5</v>
      </c>
      <c r="CE19" s="288">
        <f t="shared" si="29"/>
        <v>2.0413753377681232</v>
      </c>
      <c r="CF19" s="467">
        <v>9100.1809400000002</v>
      </c>
      <c r="CG19" s="287">
        <f t="shared" si="30"/>
        <v>-2.6105940377026959E-3</v>
      </c>
      <c r="CH19" s="288">
        <f t="shared" si="31"/>
        <v>2.0334355414449297</v>
      </c>
      <c r="CI19" s="467">
        <v>9100.1809400000002</v>
      </c>
      <c r="CJ19" s="287">
        <f t="shared" si="32"/>
        <v>0</v>
      </c>
      <c r="CK19" s="288">
        <f t="shared" si="33"/>
        <v>2.0334355414449297</v>
      </c>
      <c r="CL19" s="467">
        <v>10369.799999999999</v>
      </c>
      <c r="CM19" s="287">
        <f t="shared" si="34"/>
        <v>0.13951580395719021</v>
      </c>
      <c r="CN19" s="288">
        <f t="shared" si="35"/>
        <v>0.13650279251612707</v>
      </c>
      <c r="CO19" s="466">
        <v>17668</v>
      </c>
      <c r="CP19" s="287">
        <f t="shared" si="101"/>
        <v>0.70379370865397606</v>
      </c>
      <c r="CQ19" s="288">
        <f t="shared" si="68"/>
        <v>0.93643138974134144</v>
      </c>
      <c r="CR19" s="466">
        <v>17917.710643999999</v>
      </c>
      <c r="CS19" s="287">
        <f t="shared" si="37"/>
        <v>1.4133498075616924E-2</v>
      </c>
      <c r="CT19" s="288">
        <f t="shared" si="38"/>
        <v>0.96894004219656749</v>
      </c>
      <c r="CU19" s="466">
        <v>0</v>
      </c>
      <c r="CV19" s="287">
        <f t="shared" si="39"/>
        <v>-1</v>
      </c>
      <c r="CW19" s="288">
        <f t="shared" si="40"/>
        <v>-1</v>
      </c>
      <c r="CX19" s="466">
        <v>0</v>
      </c>
      <c r="CY19" s="287">
        <f t="shared" si="41"/>
        <v>0</v>
      </c>
      <c r="CZ19" s="288">
        <f t="shared" si="42"/>
        <v>-1</v>
      </c>
    </row>
    <row r="20" spans="1:104" ht="16.2" customHeight="1">
      <c r="A20" s="141">
        <f t="shared" si="4"/>
        <v>19</v>
      </c>
      <c r="B20" s="23"/>
      <c r="C20" s="24" t="s">
        <v>126</v>
      </c>
      <c r="D20" s="636" t="s">
        <v>523</v>
      </c>
      <c r="E20" s="486">
        <v>32154.494222000001</v>
      </c>
      <c r="F20" s="487">
        <v>32691.602007000001</v>
      </c>
      <c r="G20" s="487">
        <v>33534.755847</v>
      </c>
      <c r="H20" s="487">
        <v>46055.749744000001</v>
      </c>
      <c r="I20" s="496">
        <v>45972.961415999998</v>
      </c>
      <c r="J20" s="287">
        <f t="shared" si="5"/>
        <v>-1.7975676969798071E-3</v>
      </c>
      <c r="K20" s="288">
        <f t="shared" si="6"/>
        <v>0.42975227968429519</v>
      </c>
      <c r="L20" s="134">
        <v>50219.071837000003</v>
      </c>
      <c r="M20" s="287">
        <f t="shared" si="7"/>
        <v>9.2361037666853996E-2</v>
      </c>
      <c r="N20" s="288">
        <f t="shared" si="8"/>
        <v>0.53614594433906837</v>
      </c>
      <c r="O20" s="134">
        <v>50538.573380000002</v>
      </c>
      <c r="P20" s="287">
        <f t="shared" si="9"/>
        <v>6.3621554782420375E-3</v>
      </c>
      <c r="Q20" s="288">
        <f t="shared" si="10"/>
        <v>0.50705058389507118</v>
      </c>
      <c r="R20" s="134">
        <v>51077.691415000001</v>
      </c>
      <c r="S20" s="287">
        <f t="shared" si="11"/>
        <v>1.0667456537531539E-2</v>
      </c>
      <c r="T20" s="289">
        <f t="shared" si="12"/>
        <v>0.10904049329159471</v>
      </c>
      <c r="U20" s="496">
        <v>50882.404436999997</v>
      </c>
      <c r="V20" s="287">
        <f t="shared" si="84"/>
        <v>-3.823332116037137E-3</v>
      </c>
      <c r="W20" s="288">
        <f t="shared" si="13"/>
        <v>0.10678979273437372</v>
      </c>
      <c r="X20" s="134">
        <v>50627.866946000002</v>
      </c>
      <c r="Y20" s="287">
        <f t="shared" si="85"/>
        <v>-5.0024658586084181E-3</v>
      </c>
      <c r="Z20" s="288">
        <f t="shared" si="14"/>
        <v>8.1402362498226299E-3</v>
      </c>
      <c r="AA20" s="134">
        <v>50347.802879000003</v>
      </c>
      <c r="AB20" s="287">
        <f t="shared" si="86"/>
        <v>-5.5318164460438357E-3</v>
      </c>
      <c r="AC20" s="288">
        <f t="shared" si="15"/>
        <v>-3.7747504181725455E-3</v>
      </c>
      <c r="AD20" s="134">
        <v>50098.618892999999</v>
      </c>
      <c r="AE20" s="287">
        <f t="shared" si="87"/>
        <v>-4.9492524350837064E-3</v>
      </c>
      <c r="AF20" s="289">
        <f t="shared" si="16"/>
        <v>-1.9168300188925125E-2</v>
      </c>
      <c r="AG20" s="496">
        <v>51293.336857000002</v>
      </c>
      <c r="AH20" s="287">
        <f t="shared" si="88"/>
        <v>2.3847323347409466E-2</v>
      </c>
      <c r="AI20" s="288">
        <f t="shared" si="17"/>
        <v>8.076120312058066E-3</v>
      </c>
      <c r="AJ20" s="134">
        <v>66325.551731</v>
      </c>
      <c r="AK20" s="287">
        <f t="shared" si="89"/>
        <v>0.29306369589305725</v>
      </c>
      <c r="AL20" s="288">
        <f t="shared" si="18"/>
        <v>0.31006016512098467</v>
      </c>
      <c r="AM20" s="134">
        <v>76457.837968000007</v>
      </c>
      <c r="AN20" s="287">
        <f t="shared" si="90"/>
        <v>0.15276595478759147</v>
      </c>
      <c r="AO20" s="288">
        <f t="shared" si="19"/>
        <v>0.51859333666952256</v>
      </c>
      <c r="AP20" s="134">
        <v>80704.632922999997</v>
      </c>
      <c r="AQ20" s="287">
        <f t="shared" si="91"/>
        <v>5.5544272083359214E-2</v>
      </c>
      <c r="AR20" s="289">
        <f t="shared" si="20"/>
        <v>0.61091532473914967</v>
      </c>
      <c r="AS20" s="496">
        <v>104563.798129</v>
      </c>
      <c r="AT20" s="287">
        <f t="shared" ref="AT20:AT25" si="102">(IFERROR(AS20/AP20-1,0))</f>
        <v>0.29563563257593839</v>
      </c>
      <c r="AU20" s="288">
        <f t="shared" ref="AU20:AU34" si="103">IFERROR(AS20/AG20-1,)</f>
        <v>1.0385454434464263</v>
      </c>
      <c r="AV20" s="134">
        <v>132475.06566600001</v>
      </c>
      <c r="AW20" s="287">
        <f t="shared" ref="AW20:AW25" si="104">(IFERROR(AV20/AS20-1,0))</f>
        <v>0.26693050593443401</v>
      </c>
      <c r="AX20" s="288">
        <f t="shared" ref="AX20:AX34" si="105">IFERROR(AV20/AJ20-1,)</f>
        <v>0.99734585251979579</v>
      </c>
      <c r="AY20" s="134">
        <v>131988.20245899999</v>
      </c>
      <c r="AZ20" s="287">
        <f t="shared" ref="AZ20:AZ25" si="106">(IFERROR(AY20/AV20-1,0))</f>
        <v>-3.6751308976702424E-3</v>
      </c>
      <c r="BA20" s="288">
        <f t="shared" ref="BA20:BA34" si="107">IFERROR(AY20/AM20-1,)</f>
        <v>0.7262874018781591</v>
      </c>
      <c r="BB20" s="134">
        <v>104241.59458999999</v>
      </c>
      <c r="BC20" s="287">
        <f t="shared" ref="BC20:BC25" si="108">(IFERROR(BB20/AY20-1,0))</f>
        <v>-0.21022036327541493</v>
      </c>
      <c r="BD20" s="289">
        <f t="shared" ref="BD20:BD34" si="109">IFERROR(BB20/AP20-1,)</f>
        <v>0.29164325286574977</v>
      </c>
      <c r="BE20" s="466">
        <v>121179.001082</v>
      </c>
      <c r="BF20" s="287">
        <f t="shared" si="92"/>
        <v>0.16248222754666908</v>
      </c>
      <c r="BG20" s="288">
        <f t="shared" si="0"/>
        <v>0.15890014756829962</v>
      </c>
      <c r="BH20" s="467">
        <v>121940.52067899999</v>
      </c>
      <c r="BI20" s="287">
        <f t="shared" si="93"/>
        <v>6.2842537915019925E-3</v>
      </c>
      <c r="BJ20" s="288">
        <f t="shared" si="1"/>
        <v>-7.9520964447453157E-2</v>
      </c>
      <c r="BK20" s="467">
        <v>125210.86790700001</v>
      </c>
      <c r="BL20" s="287">
        <f t="shared" si="94"/>
        <v>2.6819200129618803E-2</v>
      </c>
      <c r="BM20" s="288">
        <f t="shared" si="2"/>
        <v>-5.1348032822139955E-2</v>
      </c>
      <c r="BN20" s="467">
        <v>138988.714882</v>
      </c>
      <c r="BO20" s="287">
        <f t="shared" si="95"/>
        <v>0.11003714937295572</v>
      </c>
      <c r="BP20" s="289">
        <f t="shared" si="3"/>
        <v>0.33333258598610627</v>
      </c>
      <c r="BQ20" s="466">
        <v>143523.975228</v>
      </c>
      <c r="BR20" s="287">
        <f t="shared" si="96"/>
        <v>3.2630421468752946E-2</v>
      </c>
      <c r="BS20" s="288">
        <f t="shared" si="25"/>
        <v>0.18439642138062751</v>
      </c>
      <c r="BT20" s="467">
        <v>143385.577315</v>
      </c>
      <c r="BU20" s="287">
        <f t="shared" si="97"/>
        <v>-9.6428427919537096E-4</v>
      </c>
      <c r="BV20" s="288">
        <f t="shared" si="26"/>
        <v>0.17586489311828224</v>
      </c>
      <c r="BW20" s="467">
        <v>150171.22852</v>
      </c>
      <c r="BX20" s="287">
        <f t="shared" si="98"/>
        <v>4.7324503147849972E-2</v>
      </c>
      <c r="BY20" s="288">
        <f t="shared" si="27"/>
        <v>0.19934659850404701</v>
      </c>
      <c r="BZ20" s="467">
        <v>193172.861473</v>
      </c>
      <c r="CA20" s="287">
        <f t="shared" si="99"/>
        <v>0.28635067700250572</v>
      </c>
      <c r="CB20" s="289">
        <f t="shared" si="28"/>
        <v>0.38984565500157187</v>
      </c>
      <c r="CC20" s="466">
        <v>198161</v>
      </c>
      <c r="CD20" s="287">
        <f t="shared" si="100"/>
        <v>2.5822149596811839E-2</v>
      </c>
      <c r="CE20" s="288">
        <f t="shared" si="29"/>
        <v>0.38068221483695996</v>
      </c>
      <c r="CF20" s="467">
        <v>198425.21903000001</v>
      </c>
      <c r="CG20" s="287">
        <f t="shared" si="30"/>
        <v>1.3333553524659258E-3</v>
      </c>
      <c r="CH20" s="288">
        <f t="shared" si="31"/>
        <v>0.38385758697393157</v>
      </c>
      <c r="CI20" s="467">
        <v>202928.43597200001</v>
      </c>
      <c r="CJ20" s="287">
        <f t="shared" si="32"/>
        <v>2.2694781258218777E-2</v>
      </c>
      <c r="CK20" s="288">
        <f t="shared" si="33"/>
        <v>0.35131368353275283</v>
      </c>
      <c r="CL20" s="467">
        <v>199716.1</v>
      </c>
      <c r="CM20" s="287">
        <f t="shared" si="34"/>
        <v>-1.5829895680284256E-2</v>
      </c>
      <c r="CN20" s="288">
        <f t="shared" si="35"/>
        <v>3.3872452253933982E-2</v>
      </c>
      <c r="CO20" s="466">
        <v>207805</v>
      </c>
      <c r="CP20" s="287">
        <f t="shared" si="101"/>
        <v>4.0501992578465096E-2</v>
      </c>
      <c r="CQ20" s="288">
        <f t="shared" si="68"/>
        <v>4.8667497640807245E-2</v>
      </c>
      <c r="CR20" s="466">
        <v>206034.648586</v>
      </c>
      <c r="CS20" s="287">
        <f t="shared" si="37"/>
        <v>-8.5192917109790933E-3</v>
      </c>
      <c r="CT20" s="288">
        <f t="shared" si="38"/>
        <v>3.8349104983724347E-2</v>
      </c>
      <c r="CU20" s="466">
        <v>0</v>
      </c>
      <c r="CV20" s="287">
        <f t="shared" si="39"/>
        <v>-1</v>
      </c>
      <c r="CW20" s="288">
        <f t="shared" si="40"/>
        <v>-1</v>
      </c>
      <c r="CX20" s="466">
        <v>0</v>
      </c>
      <c r="CY20" s="287">
        <f t="shared" si="41"/>
        <v>0</v>
      </c>
      <c r="CZ20" s="288">
        <f t="shared" si="42"/>
        <v>-1</v>
      </c>
    </row>
    <row r="21" spans="1:104" ht="16.2" customHeight="1">
      <c r="A21" s="141">
        <f t="shared" si="4"/>
        <v>20</v>
      </c>
      <c r="B21" s="23"/>
      <c r="C21" s="24" t="s">
        <v>127</v>
      </c>
      <c r="D21" s="636" t="s">
        <v>214</v>
      </c>
      <c r="E21" s="486">
        <v>127.576116</v>
      </c>
      <c r="F21" s="487">
        <v>131.49525800000001</v>
      </c>
      <c r="G21" s="487">
        <v>136.045445</v>
      </c>
      <c r="H21" s="487">
        <v>152.95273399999999</v>
      </c>
      <c r="I21" s="496">
        <v>159.48610099999999</v>
      </c>
      <c r="J21" s="287">
        <f t="shared" si="5"/>
        <v>4.2714940943781921E-2</v>
      </c>
      <c r="K21" s="288">
        <f t="shared" si="6"/>
        <v>0.25012507043246246</v>
      </c>
      <c r="L21" s="134">
        <v>357.37920300000002</v>
      </c>
      <c r="M21" s="287">
        <f t="shared" si="7"/>
        <v>1.2408172295841631</v>
      </c>
      <c r="N21" s="288">
        <f t="shared" si="8"/>
        <v>1.7178105768650607</v>
      </c>
      <c r="O21" s="134">
        <v>414.13040599999999</v>
      </c>
      <c r="P21" s="287">
        <f t="shared" si="9"/>
        <v>0.15879828071584789</v>
      </c>
      <c r="Q21" s="288">
        <f t="shared" si="10"/>
        <v>2.044059328851473</v>
      </c>
      <c r="R21" s="134">
        <v>710.67403300000001</v>
      </c>
      <c r="S21" s="287">
        <f t="shared" si="11"/>
        <v>0.71606340105343547</v>
      </c>
      <c r="T21" s="289">
        <f t="shared" si="12"/>
        <v>3.6463637125963375</v>
      </c>
      <c r="U21" s="496">
        <v>710.36875799999996</v>
      </c>
      <c r="V21" s="287">
        <f t="shared" si="84"/>
        <v>-4.2955699212954279E-4</v>
      </c>
      <c r="W21" s="288">
        <f t="shared" si="13"/>
        <v>3.4541107566483173</v>
      </c>
      <c r="X21" s="134">
        <v>731.30753300000003</v>
      </c>
      <c r="Y21" s="287">
        <f t="shared" si="85"/>
        <v>2.9475923264069115E-2</v>
      </c>
      <c r="Z21" s="288">
        <f t="shared" si="14"/>
        <v>1.0463069111494998</v>
      </c>
      <c r="AA21" s="134">
        <v>720.193533</v>
      </c>
      <c r="AB21" s="287">
        <f t="shared" si="86"/>
        <v>-1.5197436780676532E-2</v>
      </c>
      <c r="AC21" s="288">
        <f t="shared" si="15"/>
        <v>0.7390501218111476</v>
      </c>
      <c r="AD21" s="134">
        <v>821.86246900000003</v>
      </c>
      <c r="AE21" s="287">
        <f t="shared" si="87"/>
        <v>0.14116890994076736</v>
      </c>
      <c r="AF21" s="289">
        <f t="shared" si="16"/>
        <v>0.15645490173692611</v>
      </c>
      <c r="AG21" s="496">
        <v>807.05562099999997</v>
      </c>
      <c r="AH21" s="287">
        <f t="shared" si="88"/>
        <v>-1.8016211420404993E-2</v>
      </c>
      <c r="AI21" s="288">
        <f t="shared" si="17"/>
        <v>0.13610798885949893</v>
      </c>
      <c r="AJ21" s="134">
        <v>826.21163799999999</v>
      </c>
      <c r="AK21" s="287">
        <f t="shared" si="89"/>
        <v>2.3735683763981941E-2</v>
      </c>
      <c r="AL21" s="288">
        <f t="shared" si="18"/>
        <v>0.12977318120966208</v>
      </c>
      <c r="AM21" s="134">
        <v>1069.360572</v>
      </c>
      <c r="AN21" s="287">
        <f t="shared" si="90"/>
        <v>0.29429376544318298</v>
      </c>
      <c r="AO21" s="288">
        <f t="shared" si="19"/>
        <v>0.48482390218852478</v>
      </c>
      <c r="AP21" s="134">
        <v>1123.998104</v>
      </c>
      <c r="AQ21" s="287">
        <f t="shared" si="91"/>
        <v>5.1093647391368346E-2</v>
      </c>
      <c r="AR21" s="289">
        <f t="shared" si="20"/>
        <v>0.3676231077538108</v>
      </c>
      <c r="AS21" s="496">
        <v>1214.5768949999999</v>
      </c>
      <c r="AT21" s="287">
        <f t="shared" si="102"/>
        <v>8.0586248924846782E-2</v>
      </c>
      <c r="AU21" s="288">
        <f t="shared" si="103"/>
        <v>0.5049481886949152</v>
      </c>
      <c r="AV21" s="134">
        <v>1368.980671</v>
      </c>
      <c r="AW21" s="287">
        <f t="shared" si="104"/>
        <v>0.12712556663610841</v>
      </c>
      <c r="AX21" s="288">
        <f t="shared" si="105"/>
        <v>0.65693704619542048</v>
      </c>
      <c r="AY21" s="134">
        <v>1456.9951940000001</v>
      </c>
      <c r="AZ21" s="287">
        <f t="shared" si="106"/>
        <v>6.4292012929377584E-2</v>
      </c>
      <c r="BA21" s="288">
        <f t="shared" si="107"/>
        <v>0.36249197151061607</v>
      </c>
      <c r="BB21" s="134">
        <v>1478.3695740000001</v>
      </c>
      <c r="BC21" s="287">
        <f t="shared" si="108"/>
        <v>1.4670178795387345E-2</v>
      </c>
      <c r="BD21" s="289">
        <f t="shared" si="109"/>
        <v>0.31527764036157135</v>
      </c>
      <c r="BE21" s="466">
        <v>1644.948093</v>
      </c>
      <c r="BF21" s="287">
        <f t="shared" si="92"/>
        <v>0.1126771829788753</v>
      </c>
      <c r="BG21" s="288">
        <f t="shared" si="0"/>
        <v>0.354338370647171</v>
      </c>
      <c r="BH21" s="467">
        <v>1945.869254</v>
      </c>
      <c r="BI21" s="287">
        <f t="shared" si="93"/>
        <v>0.18293656941550673</v>
      </c>
      <c r="BJ21" s="288">
        <f t="shared" si="1"/>
        <v>0.42140009367597564</v>
      </c>
      <c r="BK21" s="467">
        <v>2336.794433</v>
      </c>
      <c r="BL21" s="287">
        <f t="shared" si="94"/>
        <v>0.20090002357373193</v>
      </c>
      <c r="BM21" s="288">
        <f t="shared" si="2"/>
        <v>0.60384498358201166</v>
      </c>
      <c r="BN21" s="467">
        <v>2822.2968580000002</v>
      </c>
      <c r="BO21" s="287">
        <f t="shared" si="95"/>
        <v>0.20776428518648404</v>
      </c>
      <c r="BP21" s="289">
        <f t="shared" si="3"/>
        <v>0.90906043227320921</v>
      </c>
      <c r="BQ21" s="466">
        <v>4575.2375490000004</v>
      </c>
      <c r="BR21" s="287">
        <f t="shared" si="96"/>
        <v>0.62110429171586468</v>
      </c>
      <c r="BS21" s="288">
        <f t="shared" si="25"/>
        <v>1.7813871869086393</v>
      </c>
      <c r="BT21" s="467">
        <v>6514.2836789999992</v>
      </c>
      <c r="BU21" s="287">
        <f t="shared" si="97"/>
        <v>0.42381321390051352</v>
      </c>
      <c r="BV21" s="288">
        <f t="shared" si="26"/>
        <v>2.3477499403461972</v>
      </c>
      <c r="BW21" s="467">
        <v>7605.3814109999994</v>
      </c>
      <c r="BX21" s="287">
        <f t="shared" si="98"/>
        <v>0.16749312522531934</v>
      </c>
      <c r="BY21" s="288">
        <f t="shared" si="27"/>
        <v>2.2546215035424124</v>
      </c>
      <c r="BZ21" s="467">
        <v>140947.98448300001</v>
      </c>
      <c r="CA21" s="287">
        <f t="shared" si="99"/>
        <v>17.532664815355705</v>
      </c>
      <c r="CB21" s="289">
        <f t="shared" si="28"/>
        <v>48.940878502370495</v>
      </c>
      <c r="CC21" s="466">
        <v>140159</v>
      </c>
      <c r="CD21" s="287">
        <f t="shared" si="100"/>
        <v>-5.5976996471004403E-3</v>
      </c>
      <c r="CE21" s="288">
        <f t="shared" si="29"/>
        <v>29.634256363504939</v>
      </c>
      <c r="CF21" s="467">
        <v>140585.66974000001</v>
      </c>
      <c r="CG21" s="287">
        <f t="shared" si="30"/>
        <v>3.0441836771095687E-3</v>
      </c>
      <c r="CH21" s="288">
        <f t="shared" si="31"/>
        <v>20.58114025540582</v>
      </c>
      <c r="CI21" s="467">
        <v>140067.48462900001</v>
      </c>
      <c r="CJ21" s="287">
        <f t="shared" si="32"/>
        <v>-3.685902780548922E-3</v>
      </c>
      <c r="CK21" s="288">
        <f t="shared" si="33"/>
        <v>17.416891548189053</v>
      </c>
      <c r="CL21" s="467">
        <v>139635.1</v>
      </c>
      <c r="CM21" s="287">
        <f t="shared" si="34"/>
        <v>-3.0869736123646518E-3</v>
      </c>
      <c r="CN21" s="288">
        <f t="shared" si="35"/>
        <v>-9.3146736919700324E-3</v>
      </c>
      <c r="CO21" s="466">
        <v>146278</v>
      </c>
      <c r="CP21" s="287">
        <f t="shared" si="101"/>
        <v>4.7573282075924928E-2</v>
      </c>
      <c r="CQ21" s="288">
        <f t="shared" si="68"/>
        <v>4.3657560342182711E-2</v>
      </c>
      <c r="CR21" s="466">
        <v>162627.02852699999</v>
      </c>
      <c r="CS21" s="287">
        <f t="shared" si="37"/>
        <v>0.11176683115027553</v>
      </c>
      <c r="CT21" s="288">
        <f t="shared" si="38"/>
        <v>0.15678240056588555</v>
      </c>
      <c r="CU21" s="466">
        <v>0</v>
      </c>
      <c r="CV21" s="287">
        <f t="shared" si="39"/>
        <v>-1</v>
      </c>
      <c r="CW21" s="288">
        <f t="shared" si="40"/>
        <v>-1</v>
      </c>
      <c r="CX21" s="466">
        <v>0</v>
      </c>
      <c r="CY21" s="287">
        <f t="shared" si="41"/>
        <v>0</v>
      </c>
      <c r="CZ21" s="288">
        <f t="shared" si="42"/>
        <v>-1</v>
      </c>
    </row>
    <row r="22" spans="1:104" ht="16.2" customHeight="1">
      <c r="A22" s="141">
        <f t="shared" si="4"/>
        <v>21</v>
      </c>
      <c r="B22" s="23"/>
      <c r="C22" s="24" t="s">
        <v>128</v>
      </c>
      <c r="D22" s="636" t="s">
        <v>226</v>
      </c>
      <c r="E22" s="486" t="s">
        <v>113</v>
      </c>
      <c r="F22" s="487" t="s">
        <v>113</v>
      </c>
      <c r="G22" s="487" t="s">
        <v>113</v>
      </c>
      <c r="H22" s="487" t="s">
        <v>113</v>
      </c>
      <c r="I22" s="496"/>
      <c r="J22" s="287">
        <f t="shared" si="5"/>
        <v>0</v>
      </c>
      <c r="K22" s="288">
        <f t="shared" si="6"/>
        <v>0</v>
      </c>
      <c r="L22" s="134" t="s">
        <v>113</v>
      </c>
      <c r="M22" s="287">
        <f t="shared" si="7"/>
        <v>0</v>
      </c>
      <c r="N22" s="288">
        <f t="shared" si="8"/>
        <v>0</v>
      </c>
      <c r="O22" s="134" t="s">
        <v>113</v>
      </c>
      <c r="P22" s="287">
        <f t="shared" si="9"/>
        <v>0</v>
      </c>
      <c r="Q22" s="288">
        <f t="shared" si="10"/>
        <v>0</v>
      </c>
      <c r="R22" s="134" t="s">
        <v>113</v>
      </c>
      <c r="S22" s="287">
        <f t="shared" si="11"/>
        <v>0</v>
      </c>
      <c r="T22" s="289">
        <f t="shared" si="12"/>
        <v>0</v>
      </c>
      <c r="U22" s="496">
        <v>0</v>
      </c>
      <c r="V22" s="287">
        <f t="shared" si="84"/>
        <v>0</v>
      </c>
      <c r="W22" s="288">
        <f t="shared" si="13"/>
        <v>0</v>
      </c>
      <c r="X22" s="134">
        <v>0</v>
      </c>
      <c r="Y22" s="287">
        <f t="shared" si="85"/>
        <v>0</v>
      </c>
      <c r="Z22" s="288">
        <f t="shared" si="14"/>
        <v>0</v>
      </c>
      <c r="AA22" s="134">
        <v>0</v>
      </c>
      <c r="AB22" s="287">
        <f t="shared" si="86"/>
        <v>0</v>
      </c>
      <c r="AC22" s="288">
        <f t="shared" si="15"/>
        <v>0</v>
      </c>
      <c r="AD22" s="134">
        <v>0</v>
      </c>
      <c r="AE22" s="287">
        <f t="shared" si="87"/>
        <v>0</v>
      </c>
      <c r="AF22" s="289">
        <f t="shared" si="16"/>
        <v>0</v>
      </c>
      <c r="AG22" s="496">
        <v>0</v>
      </c>
      <c r="AH22" s="287">
        <f t="shared" si="88"/>
        <v>0</v>
      </c>
      <c r="AI22" s="288">
        <f t="shared" si="17"/>
        <v>0</v>
      </c>
      <c r="AJ22" s="134">
        <v>0</v>
      </c>
      <c r="AK22" s="287">
        <f t="shared" si="89"/>
        <v>0</v>
      </c>
      <c r="AL22" s="288">
        <f t="shared" si="18"/>
        <v>0</v>
      </c>
      <c r="AM22" s="134">
        <v>0</v>
      </c>
      <c r="AN22" s="287">
        <f t="shared" si="90"/>
        <v>0</v>
      </c>
      <c r="AO22" s="288">
        <f t="shared" si="19"/>
        <v>0</v>
      </c>
      <c r="AP22" s="134">
        <v>58418.164117</v>
      </c>
      <c r="AQ22" s="287">
        <f t="shared" si="91"/>
        <v>0</v>
      </c>
      <c r="AR22" s="289">
        <f t="shared" si="20"/>
        <v>0</v>
      </c>
      <c r="AS22" s="496">
        <v>103467.475659</v>
      </c>
      <c r="AT22" s="287">
        <f t="shared" si="102"/>
        <v>0.77115246983412833</v>
      </c>
      <c r="AU22" s="288">
        <f t="shared" si="103"/>
        <v>0</v>
      </c>
      <c r="AV22" s="134">
        <v>74917.254627999995</v>
      </c>
      <c r="AW22" s="287">
        <f t="shared" si="104"/>
        <v>-0.27593425710987274</v>
      </c>
      <c r="AX22" s="288">
        <f t="shared" si="105"/>
        <v>0</v>
      </c>
      <c r="AY22" s="134">
        <v>74762.030088</v>
      </c>
      <c r="AZ22" s="287">
        <f t="shared" si="106"/>
        <v>-2.071946453066964E-3</v>
      </c>
      <c r="BA22" s="288">
        <f t="shared" si="107"/>
        <v>0</v>
      </c>
      <c r="BB22" s="134">
        <v>74654.142443999997</v>
      </c>
      <c r="BC22" s="287">
        <f t="shared" si="108"/>
        <v>-1.4430807172172155E-3</v>
      </c>
      <c r="BD22" s="289">
        <f t="shared" si="109"/>
        <v>0.27792688408493205</v>
      </c>
      <c r="BE22" s="466">
        <v>57707.046391999997</v>
      </c>
      <c r="BF22" s="287">
        <f t="shared" si="92"/>
        <v>-0.22700811364503259</v>
      </c>
      <c r="BG22" s="288">
        <f t="shared" si="0"/>
        <v>-0.44226873203917372</v>
      </c>
      <c r="BH22" s="467">
        <v>57623.529424</v>
      </c>
      <c r="BI22" s="287">
        <f t="shared" si="93"/>
        <v>-1.4472577132551567E-3</v>
      </c>
      <c r="BJ22" s="288">
        <f t="shared" si="1"/>
        <v>-0.23083767938202771</v>
      </c>
      <c r="BK22" s="467">
        <v>54579.834546999999</v>
      </c>
      <c r="BL22" s="287">
        <f t="shared" si="94"/>
        <v>-5.2820347997155404E-2</v>
      </c>
      <c r="BM22" s="288">
        <f t="shared" si="2"/>
        <v>-0.26995248145675266</v>
      </c>
      <c r="BN22" s="467">
        <v>41087.737051999997</v>
      </c>
      <c r="BO22" s="287">
        <f t="shared" si="95"/>
        <v>-0.24719931100893378</v>
      </c>
      <c r="BP22" s="289">
        <f t="shared" si="3"/>
        <v>-0.44962549020208797</v>
      </c>
      <c r="BQ22" s="466">
        <v>36270.455333999998</v>
      </c>
      <c r="BR22" s="287">
        <f t="shared" si="96"/>
        <v>-0.11724378278373715</v>
      </c>
      <c r="BS22" s="288">
        <f t="shared" si="25"/>
        <v>-0.37147267791844185</v>
      </c>
      <c r="BT22" s="467">
        <v>36217.656987000002</v>
      </c>
      <c r="BU22" s="287">
        <f t="shared" si="97"/>
        <v>-1.4556847029847386E-3</v>
      </c>
      <c r="BV22" s="288">
        <f t="shared" si="26"/>
        <v>-0.37147798218837536</v>
      </c>
      <c r="BW22" s="467">
        <v>29487.664896999999</v>
      </c>
      <c r="BX22" s="287">
        <f t="shared" si="98"/>
        <v>-0.1858207473889234</v>
      </c>
      <c r="BY22" s="288">
        <f t="shared" si="27"/>
        <v>-0.45973334031257518</v>
      </c>
      <c r="BZ22" s="467">
        <v>29444.614818999999</v>
      </c>
      <c r="CA22" s="287">
        <f t="shared" si="99"/>
        <v>-1.4599351339067423E-3</v>
      </c>
      <c r="CB22" s="289">
        <f t="shared" si="28"/>
        <v>-0.28337219492678911</v>
      </c>
      <c r="CC22" s="466">
        <v>29393</v>
      </c>
      <c r="CD22" s="287">
        <f t="shared" si="100"/>
        <v>-1.7529459738998554E-3</v>
      </c>
      <c r="CE22" s="288">
        <f t="shared" si="29"/>
        <v>-0.18961590833829589</v>
      </c>
      <c r="CF22" s="467">
        <v>29358.514668</v>
      </c>
      <c r="CG22" s="287">
        <f t="shared" si="30"/>
        <v>-1.1732498213860021E-3</v>
      </c>
      <c r="CH22" s="288">
        <f t="shared" si="31"/>
        <v>-0.18938669393942376</v>
      </c>
      <c r="CI22" s="467">
        <v>29315.464593000001</v>
      </c>
      <c r="CJ22" s="287">
        <f t="shared" si="32"/>
        <v>-1.4663573919467821E-3</v>
      </c>
      <c r="CK22" s="288">
        <f t="shared" si="33"/>
        <v>-5.8397402643272089E-3</v>
      </c>
      <c r="CL22" s="467">
        <v>29272.400000000001</v>
      </c>
      <c r="CM22" s="287">
        <f t="shared" si="34"/>
        <v>-1.4690059870408056E-3</v>
      </c>
      <c r="CN22" s="288">
        <f t="shared" si="35"/>
        <v>-5.8487713308061906E-3</v>
      </c>
      <c r="CO22" s="466">
        <v>29229</v>
      </c>
      <c r="CP22" s="287">
        <f t="shared" si="101"/>
        <v>-1.4826252715869348E-3</v>
      </c>
      <c r="CQ22" s="288">
        <f t="shared" si="68"/>
        <v>-5.5795597591262736E-3</v>
      </c>
      <c r="CR22" s="466">
        <v>29186.314352000001</v>
      </c>
      <c r="CS22" s="287">
        <f t="shared" si="37"/>
        <v>-1.4603868760477701E-3</v>
      </c>
      <c r="CT22" s="288">
        <f t="shared" si="38"/>
        <v>-5.8654301127738506E-3</v>
      </c>
      <c r="CU22" s="466">
        <v>0</v>
      </c>
      <c r="CV22" s="287">
        <f t="shared" si="39"/>
        <v>-1</v>
      </c>
      <c r="CW22" s="288">
        <f t="shared" si="40"/>
        <v>-1</v>
      </c>
      <c r="CX22" s="466">
        <v>0</v>
      </c>
      <c r="CY22" s="287">
        <f t="shared" si="41"/>
        <v>0</v>
      </c>
      <c r="CZ22" s="288">
        <f t="shared" si="42"/>
        <v>-1</v>
      </c>
    </row>
    <row r="23" spans="1:104" ht="16.2" customHeight="1">
      <c r="A23" s="141">
        <f t="shared" si="4"/>
        <v>22</v>
      </c>
      <c r="B23" s="23"/>
      <c r="C23" s="24" t="s">
        <v>357</v>
      </c>
      <c r="D23" s="636" t="s">
        <v>358</v>
      </c>
      <c r="E23" s="486">
        <v>2653.0795600000001</v>
      </c>
      <c r="F23" s="487">
        <v>2513.35646</v>
      </c>
      <c r="G23" s="487">
        <v>2543.31068</v>
      </c>
      <c r="H23" s="487">
        <v>2067.170936</v>
      </c>
      <c r="I23" s="496">
        <v>2644.860952</v>
      </c>
      <c r="J23" s="287">
        <f t="shared" si="5"/>
        <v>0.27945923868194322</v>
      </c>
      <c r="K23" s="288">
        <f t="shared" si="6"/>
        <v>-3.0977616065158697E-3</v>
      </c>
      <c r="L23" s="134">
        <v>2442.6254170000002</v>
      </c>
      <c r="M23" s="287">
        <f t="shared" si="7"/>
        <v>-7.6463579246792812E-2</v>
      </c>
      <c r="N23" s="288">
        <f t="shared" si="8"/>
        <v>-2.8142065849266706E-2</v>
      </c>
      <c r="O23" s="134">
        <v>2444.850434</v>
      </c>
      <c r="P23" s="287">
        <f t="shared" si="9"/>
        <v>9.109120803028059E-4</v>
      </c>
      <c r="Q23" s="288">
        <f t="shared" si="10"/>
        <v>-3.8713416640077991E-2</v>
      </c>
      <c r="R23" s="134">
        <v>2926.1996300000001</v>
      </c>
      <c r="S23" s="287">
        <f t="shared" si="11"/>
        <v>0.19688288056642733</v>
      </c>
      <c r="T23" s="289">
        <f t="shared" si="12"/>
        <v>0.41555764888134061</v>
      </c>
      <c r="U23" s="496">
        <v>2927.6384499999999</v>
      </c>
      <c r="V23" s="287">
        <f t="shared" si="84"/>
        <v>4.9170261155406791E-4</v>
      </c>
      <c r="W23" s="288">
        <f t="shared" si="13"/>
        <v>0.10691582776257791</v>
      </c>
      <c r="X23" s="134">
        <v>2896.91426</v>
      </c>
      <c r="Y23" s="287">
        <f t="shared" si="85"/>
        <v>-1.049453015620827E-2</v>
      </c>
      <c r="Z23" s="288">
        <f t="shared" si="14"/>
        <v>0.18598383519563599</v>
      </c>
      <c r="AA23" s="134">
        <v>3116.9389000000001</v>
      </c>
      <c r="AB23" s="287">
        <f t="shared" si="86"/>
        <v>7.5951381453726485E-2</v>
      </c>
      <c r="AC23" s="288">
        <f t="shared" si="15"/>
        <v>0.27489962439150184</v>
      </c>
      <c r="AD23" s="134">
        <v>1846.88456</v>
      </c>
      <c r="AE23" s="287">
        <f t="shared" si="87"/>
        <v>-0.4074684749194154</v>
      </c>
      <c r="AF23" s="289">
        <f t="shared" si="16"/>
        <v>-0.36884533062428149</v>
      </c>
      <c r="AG23" s="496">
        <v>2499.9438500000001</v>
      </c>
      <c r="AH23" s="287">
        <f t="shared" si="88"/>
        <v>0.3536004924964018</v>
      </c>
      <c r="AI23" s="288">
        <f t="shared" si="17"/>
        <v>-0.14608859915745398</v>
      </c>
      <c r="AJ23" s="134">
        <v>2167.72424</v>
      </c>
      <c r="AK23" s="287">
        <f t="shared" si="89"/>
        <v>-0.13289082872801328</v>
      </c>
      <c r="AL23" s="288">
        <f t="shared" si="18"/>
        <v>-0.25171266891412936</v>
      </c>
      <c r="AM23" s="134">
        <v>1754.4033300000001</v>
      </c>
      <c r="AN23" s="287">
        <f t="shared" si="90"/>
        <v>-0.19067042863348704</v>
      </c>
      <c r="AO23" s="288">
        <f t="shared" si="19"/>
        <v>-0.43713900519512905</v>
      </c>
      <c r="AP23" s="134">
        <v>1894.43886</v>
      </c>
      <c r="AQ23" s="287">
        <f t="shared" si="91"/>
        <v>7.9819462038982714E-2</v>
      </c>
      <c r="AR23" s="289">
        <f t="shared" si="20"/>
        <v>2.5748387868920197E-2</v>
      </c>
      <c r="AS23" s="496">
        <v>929.59821999999997</v>
      </c>
      <c r="AT23" s="287">
        <f t="shared" si="102"/>
        <v>-0.50930154589417576</v>
      </c>
      <c r="AU23" s="288">
        <f t="shared" si="103"/>
        <v>-0.62815236030201249</v>
      </c>
      <c r="AV23" s="134">
        <v>859.62824999999998</v>
      </c>
      <c r="AW23" s="287">
        <f t="shared" si="104"/>
        <v>-7.5269044727731882E-2</v>
      </c>
      <c r="AX23" s="288">
        <f t="shared" si="105"/>
        <v>-0.6034420641990883</v>
      </c>
      <c r="AY23" s="134">
        <v>1159.70426</v>
      </c>
      <c r="AZ23" s="287">
        <f t="shared" si="106"/>
        <v>0.34907648742348796</v>
      </c>
      <c r="BA23" s="288">
        <f t="shared" si="107"/>
        <v>-0.3389751146904173</v>
      </c>
      <c r="BB23" s="134">
        <v>1038.0038400000001</v>
      </c>
      <c r="BC23" s="287">
        <f t="shared" si="108"/>
        <v>-0.10494090967640313</v>
      </c>
      <c r="BD23" s="289">
        <f t="shared" si="109"/>
        <v>-0.45207846929406836</v>
      </c>
      <c r="BE23" s="466">
        <v>1248.08843</v>
      </c>
      <c r="BF23" s="287">
        <f t="shared" si="92"/>
        <v>0.20239288324790783</v>
      </c>
      <c r="BG23" s="288">
        <f t="shared" si="0"/>
        <v>0.34261060654784825</v>
      </c>
      <c r="BH23" s="467">
        <v>1919.326883</v>
      </c>
      <c r="BI23" s="287">
        <f t="shared" si="93"/>
        <v>0.53781321648819391</v>
      </c>
      <c r="BJ23" s="288">
        <f t="shared" si="1"/>
        <v>1.232740586410463</v>
      </c>
      <c r="BK23" s="467">
        <v>1646.073153</v>
      </c>
      <c r="BL23" s="287">
        <f t="shared" si="94"/>
        <v>-0.1423695632152514</v>
      </c>
      <c r="BM23" s="288">
        <f t="shared" si="2"/>
        <v>0.41939045132075314</v>
      </c>
      <c r="BN23" s="467">
        <v>1100.2748799999999</v>
      </c>
      <c r="BO23" s="287">
        <f t="shared" si="95"/>
        <v>-0.33157595214117441</v>
      </c>
      <c r="BP23" s="289">
        <f t="shared" si="3"/>
        <v>5.999114608285061E-2</v>
      </c>
      <c r="BQ23" s="466">
        <v>429.00508100000002</v>
      </c>
      <c r="BR23" s="287">
        <f t="shared" si="96"/>
        <v>-0.61009281516996916</v>
      </c>
      <c r="BS23" s="288">
        <f t="shared" si="25"/>
        <v>-0.65627028447014768</v>
      </c>
      <c r="BT23" s="467">
        <v>330.29539</v>
      </c>
      <c r="BU23" s="287">
        <f t="shared" si="97"/>
        <v>-0.23008979467075363</v>
      </c>
      <c r="BV23" s="288">
        <f t="shared" si="26"/>
        <v>-0.82791081971210012</v>
      </c>
      <c r="BW23" s="467">
        <v>603.75545299999999</v>
      </c>
      <c r="BX23" s="287">
        <f t="shared" si="98"/>
        <v>0.82792576366264137</v>
      </c>
      <c r="BY23" s="288">
        <f t="shared" si="27"/>
        <v>-0.63321468921375457</v>
      </c>
      <c r="BZ23" s="467">
        <v>606.68639700000006</v>
      </c>
      <c r="CA23" s="287">
        <f t="shared" si="99"/>
        <v>4.8545217859921053E-3</v>
      </c>
      <c r="CB23" s="289">
        <f t="shared" si="28"/>
        <v>-0.44860470049084455</v>
      </c>
      <c r="CC23" s="466">
        <v>277.62900000000002</v>
      </c>
      <c r="CD23" s="287">
        <f t="shared" si="100"/>
        <v>-0.54238466302714872</v>
      </c>
      <c r="CE23" s="288">
        <f t="shared" si="29"/>
        <v>-0.35285381853088116</v>
      </c>
      <c r="CF23" s="467">
        <v>215.45137600000001</v>
      </c>
      <c r="CG23" s="287">
        <f t="shared" si="30"/>
        <v>-0.22395939905413342</v>
      </c>
      <c r="CH23" s="288">
        <f t="shared" si="31"/>
        <v>-0.34770092915919892</v>
      </c>
      <c r="CI23" s="467">
        <v>262.92154099999999</v>
      </c>
      <c r="CJ23" s="287">
        <f t="shared" si="32"/>
        <v>0.22032890149654927</v>
      </c>
      <c r="CK23" s="288">
        <f t="shared" si="33"/>
        <v>-0.5645231199261731</v>
      </c>
      <c r="CL23" s="467">
        <v>29507</v>
      </c>
      <c r="CM23" s="287">
        <f t="shared" si="34"/>
        <v>111.22739638514442</v>
      </c>
      <c r="CN23" s="288">
        <f t="shared" si="35"/>
        <v>47.636330311523366</v>
      </c>
      <c r="CO23" s="466">
        <v>1253</v>
      </c>
      <c r="CP23" s="287">
        <f t="shared" si="101"/>
        <v>-0.95753550005083543</v>
      </c>
      <c r="CQ23" s="288">
        <f t="shared" si="68"/>
        <v>3.513217279174726</v>
      </c>
      <c r="CR23" s="466">
        <v>1415.8402129999999</v>
      </c>
      <c r="CS23" s="287">
        <f t="shared" si="37"/>
        <v>0.12996026576217079</v>
      </c>
      <c r="CT23" s="288">
        <f t="shared" si="38"/>
        <v>5.571506941779754</v>
      </c>
      <c r="CU23" s="466">
        <v>0</v>
      </c>
      <c r="CV23" s="287">
        <f t="shared" si="39"/>
        <v>-1</v>
      </c>
      <c r="CW23" s="288">
        <f t="shared" si="40"/>
        <v>-1</v>
      </c>
      <c r="CX23" s="466">
        <v>0</v>
      </c>
      <c r="CY23" s="287">
        <f t="shared" si="41"/>
        <v>0</v>
      </c>
      <c r="CZ23" s="288">
        <f t="shared" si="42"/>
        <v>-1</v>
      </c>
    </row>
    <row r="24" spans="1:104" ht="16.2" customHeight="1">
      <c r="A24" s="141">
        <f t="shared" si="4"/>
        <v>23</v>
      </c>
      <c r="B24" s="23"/>
      <c r="C24" s="24" t="s">
        <v>129</v>
      </c>
      <c r="D24" s="636" t="s">
        <v>250</v>
      </c>
      <c r="E24" s="486" t="s">
        <v>113</v>
      </c>
      <c r="F24" s="487">
        <v>23.967948</v>
      </c>
      <c r="G24" s="487">
        <v>12.692591999999999</v>
      </c>
      <c r="H24" s="488" t="s">
        <v>113</v>
      </c>
      <c r="I24" s="496">
        <v>23.352440000000001</v>
      </c>
      <c r="J24" s="287">
        <f t="shared" si="5"/>
        <v>0</v>
      </c>
      <c r="K24" s="288">
        <f t="shared" si="6"/>
        <v>0</v>
      </c>
      <c r="L24" s="134">
        <v>203.22920400000001</v>
      </c>
      <c r="M24" s="287">
        <f t="shared" si="7"/>
        <v>7.7026967631647913</v>
      </c>
      <c r="N24" s="288">
        <f t="shared" si="8"/>
        <v>7.4792074815916667</v>
      </c>
      <c r="O24" s="134">
        <v>150.53615199999999</v>
      </c>
      <c r="P24" s="287">
        <f t="shared" si="9"/>
        <v>-0.2592789370960682</v>
      </c>
      <c r="Q24" s="288">
        <f t="shared" si="10"/>
        <v>10.860158429420878</v>
      </c>
      <c r="R24" s="134">
        <v>251.34474399999999</v>
      </c>
      <c r="S24" s="287">
        <f t="shared" si="11"/>
        <v>0.66966366989372772</v>
      </c>
      <c r="T24" s="289">
        <f t="shared" si="12"/>
        <v>0</v>
      </c>
      <c r="U24" s="496">
        <v>255.455896</v>
      </c>
      <c r="V24" s="287">
        <f t="shared" si="84"/>
        <v>1.635662610076305E-2</v>
      </c>
      <c r="W24" s="288">
        <f t="shared" si="13"/>
        <v>9.9391522256346647</v>
      </c>
      <c r="X24" s="134">
        <v>200.434134</v>
      </c>
      <c r="Y24" s="287">
        <f t="shared" si="85"/>
        <v>-0.21538654171442573</v>
      </c>
      <c r="Z24" s="288">
        <f t="shared" si="14"/>
        <v>-1.3753289118821788E-2</v>
      </c>
      <c r="AA24" s="134">
        <v>258.95601299999998</v>
      </c>
      <c r="AB24" s="287">
        <f t="shared" si="86"/>
        <v>0.29197561229765379</v>
      </c>
      <c r="AC24" s="288">
        <f t="shared" si="15"/>
        <v>0.72022474043311546</v>
      </c>
      <c r="AD24" s="134">
        <v>384.94548200000003</v>
      </c>
      <c r="AE24" s="287">
        <f t="shared" si="87"/>
        <v>0.48652845531723576</v>
      </c>
      <c r="AF24" s="289">
        <f t="shared" si="16"/>
        <v>0.53154379070683899</v>
      </c>
      <c r="AG24" s="496">
        <v>683.58179099999995</v>
      </c>
      <c r="AH24" s="287">
        <f t="shared" si="88"/>
        <v>0.77578858036837506</v>
      </c>
      <c r="AI24" s="288">
        <f t="shared" si="17"/>
        <v>1.6759288069044995</v>
      </c>
      <c r="AJ24" s="134">
        <v>664.17247899999995</v>
      </c>
      <c r="AK24" s="287">
        <f t="shared" si="89"/>
        <v>-2.83935474226229E-2</v>
      </c>
      <c r="AL24" s="288">
        <f t="shared" si="18"/>
        <v>2.3136695120003861</v>
      </c>
      <c r="AM24" s="134">
        <v>670.99253099999999</v>
      </c>
      <c r="AN24" s="287">
        <f t="shared" si="90"/>
        <v>1.0268495331617E-2</v>
      </c>
      <c r="AO24" s="288">
        <f t="shared" si="19"/>
        <v>1.5911448173246319</v>
      </c>
      <c r="AP24" s="134">
        <v>800.74314800000002</v>
      </c>
      <c r="AQ24" s="287">
        <f t="shared" si="91"/>
        <v>0.19337117926876002</v>
      </c>
      <c r="AR24" s="289">
        <f t="shared" si="20"/>
        <v>1.0801468920734076</v>
      </c>
      <c r="AS24" s="496">
        <v>667.17363699999999</v>
      </c>
      <c r="AT24" s="287">
        <f t="shared" si="102"/>
        <v>-0.16680693594895435</v>
      </c>
      <c r="AU24" s="288">
        <f t="shared" si="103"/>
        <v>-2.4003205199478406E-2</v>
      </c>
      <c r="AV24" s="134">
        <v>744.25419899999997</v>
      </c>
      <c r="AW24" s="287">
        <f t="shared" si="104"/>
        <v>0.11553298530589262</v>
      </c>
      <c r="AX24" s="288">
        <f t="shared" si="105"/>
        <v>0.1205736800786652</v>
      </c>
      <c r="AY24" s="134">
        <v>986.79746599999999</v>
      </c>
      <c r="AZ24" s="287">
        <f t="shared" si="106"/>
        <v>0.32588767026895882</v>
      </c>
      <c r="BA24" s="288">
        <f t="shared" si="107"/>
        <v>0.47065342818249634</v>
      </c>
      <c r="BB24" s="134">
        <v>1090.6440809999999</v>
      </c>
      <c r="BC24" s="287">
        <f t="shared" si="108"/>
        <v>0.10523599682612073</v>
      </c>
      <c r="BD24" s="289">
        <f t="shared" si="109"/>
        <v>0.36203985475752076</v>
      </c>
      <c r="BE24" s="466">
        <v>1105.370535</v>
      </c>
      <c r="BF24" s="287">
        <f t="shared" si="92"/>
        <v>1.3502529612132941E-2</v>
      </c>
      <c r="BG24" s="288">
        <f t="shared" si="0"/>
        <v>0.65679588295842706</v>
      </c>
      <c r="BH24" s="467">
        <v>1475.1587919999999</v>
      </c>
      <c r="BI24" s="287">
        <f t="shared" si="93"/>
        <v>0.33453782717303926</v>
      </c>
      <c r="BJ24" s="288">
        <f t="shared" si="1"/>
        <v>0.98206310959624155</v>
      </c>
      <c r="BK24" s="467">
        <v>1417.4187850000001</v>
      </c>
      <c r="BL24" s="287">
        <f t="shared" si="94"/>
        <v>-3.9141553650449246E-2</v>
      </c>
      <c r="BM24" s="288">
        <f t="shared" si="2"/>
        <v>0.43638267611846504</v>
      </c>
      <c r="BN24" s="467">
        <v>1217.303762</v>
      </c>
      <c r="BO24" s="287">
        <f t="shared" si="95"/>
        <v>-0.14118270839764557</v>
      </c>
      <c r="BP24" s="289">
        <f t="shared" si="3"/>
        <v>0.11613291925984437</v>
      </c>
      <c r="BQ24" s="466">
        <v>1018.943565</v>
      </c>
      <c r="BR24" s="287">
        <f t="shared" si="96"/>
        <v>-0.16295045098201211</v>
      </c>
      <c r="BS24" s="288">
        <f t="shared" si="25"/>
        <v>-7.8188233957222297E-2</v>
      </c>
      <c r="BT24" s="467">
        <v>882.26792699999987</v>
      </c>
      <c r="BU24" s="287">
        <f t="shared" si="97"/>
        <v>-0.13413464954754406</v>
      </c>
      <c r="BV24" s="288">
        <f t="shared" si="26"/>
        <v>-0.4019166399002827</v>
      </c>
      <c r="BW24" s="467">
        <v>835.52928899999984</v>
      </c>
      <c r="BX24" s="287">
        <f t="shared" si="98"/>
        <v>-5.2975560563474966E-2</v>
      </c>
      <c r="BY24" s="288">
        <f t="shared" si="27"/>
        <v>-0.41052757460103806</v>
      </c>
      <c r="BZ24" s="467">
        <v>773.10977500000001</v>
      </c>
      <c r="CA24" s="287">
        <f t="shared" si="99"/>
        <v>-7.4706554063121322E-2</v>
      </c>
      <c r="CB24" s="289">
        <f t="shared" si="28"/>
        <v>-0.36489987205017771</v>
      </c>
      <c r="CC24" s="466">
        <v>558</v>
      </c>
      <c r="CD24" s="287">
        <f t="shared" si="100"/>
        <v>-0.27823962644890887</v>
      </c>
      <c r="CE24" s="288">
        <f t="shared" si="29"/>
        <v>-0.45237398893627634</v>
      </c>
      <c r="CF24" s="467">
        <v>431.07337200000001</v>
      </c>
      <c r="CG24" s="287">
        <f t="shared" si="30"/>
        <v>-0.22746707526881715</v>
      </c>
      <c r="CH24" s="288">
        <f t="shared" si="31"/>
        <v>-0.51140310238207265</v>
      </c>
      <c r="CI24" s="467">
        <v>358.99262199999998</v>
      </c>
      <c r="CJ24" s="287">
        <f t="shared" si="32"/>
        <v>-0.16721225360215486</v>
      </c>
      <c r="CK24" s="288">
        <f t="shared" si="33"/>
        <v>-0.57034106795985695</v>
      </c>
      <c r="CL24" s="467">
        <v>269.7</v>
      </c>
      <c r="CM24" s="287">
        <f t="shared" si="34"/>
        <v>-0.24873107837854114</v>
      </c>
      <c r="CN24" s="288">
        <f t="shared" si="35"/>
        <v>-0.65114915278363927</v>
      </c>
      <c r="CO24" s="466">
        <v>1291</v>
      </c>
      <c r="CP24" s="287">
        <f t="shared" si="101"/>
        <v>3.7868001483129401</v>
      </c>
      <c r="CQ24" s="288">
        <f t="shared" si="68"/>
        <v>1.3136200716845878</v>
      </c>
      <c r="CR24" s="466">
        <v>1200.500984</v>
      </c>
      <c r="CS24" s="287">
        <f t="shared" si="37"/>
        <v>-7.0099934934159558E-2</v>
      </c>
      <c r="CT24" s="288">
        <f t="shared" si="38"/>
        <v>1.7849110197416693</v>
      </c>
      <c r="CU24" s="466">
        <v>0</v>
      </c>
      <c r="CV24" s="287">
        <f t="shared" si="39"/>
        <v>-1</v>
      </c>
      <c r="CW24" s="288">
        <f t="shared" si="40"/>
        <v>-1</v>
      </c>
      <c r="CX24" s="466">
        <v>0</v>
      </c>
      <c r="CY24" s="287">
        <f t="shared" si="41"/>
        <v>0</v>
      </c>
      <c r="CZ24" s="288">
        <f t="shared" si="42"/>
        <v>-1</v>
      </c>
    </row>
    <row r="25" spans="1:104" ht="16.2" customHeight="1">
      <c r="A25" s="141">
        <f t="shared" si="4"/>
        <v>24</v>
      </c>
      <c r="B25" s="23"/>
      <c r="C25" s="24" t="s">
        <v>130</v>
      </c>
      <c r="D25" s="636" t="s">
        <v>202</v>
      </c>
      <c r="E25" s="486">
        <v>474.29177600000003</v>
      </c>
      <c r="F25" s="487">
        <v>310.78884699999998</v>
      </c>
      <c r="G25" s="487">
        <v>313.317318</v>
      </c>
      <c r="H25" s="487">
        <v>385.551557</v>
      </c>
      <c r="I25" s="496">
        <v>381.530822</v>
      </c>
      <c r="J25" s="287">
        <f t="shared" si="5"/>
        <v>-1.0428527461503689E-2</v>
      </c>
      <c r="K25" s="288">
        <f t="shared" si="6"/>
        <v>-0.19557782507280919</v>
      </c>
      <c r="L25" s="134">
        <v>464.77919100000003</v>
      </c>
      <c r="M25" s="287">
        <f t="shared" si="7"/>
        <v>0.21819565864589574</v>
      </c>
      <c r="N25" s="288">
        <f t="shared" si="8"/>
        <v>0.49548220757098171</v>
      </c>
      <c r="O25" s="134">
        <v>538.01268500000003</v>
      </c>
      <c r="P25" s="287">
        <f t="shared" si="9"/>
        <v>0.15756620653010267</v>
      </c>
      <c r="Q25" s="288">
        <f t="shared" si="10"/>
        <v>0.7171495289002825</v>
      </c>
      <c r="R25" s="134">
        <v>611.72805200000005</v>
      </c>
      <c r="S25" s="287">
        <f t="shared" si="11"/>
        <v>0.13701418025115886</v>
      </c>
      <c r="T25" s="289">
        <f t="shared" si="12"/>
        <v>0.58663099887312886</v>
      </c>
      <c r="U25" s="496">
        <v>609.74727299999995</v>
      </c>
      <c r="V25" s="287">
        <f t="shared" si="84"/>
        <v>-3.2380058320427008E-3</v>
      </c>
      <c r="W25" s="288">
        <f t="shared" si="13"/>
        <v>0.59815993319669447</v>
      </c>
      <c r="X25" s="134">
        <v>609.34306300000003</v>
      </c>
      <c r="Y25" s="287">
        <f t="shared" si="85"/>
        <v>-6.629139938768569E-4</v>
      </c>
      <c r="Z25" s="288">
        <f t="shared" si="14"/>
        <v>0.31103774609392953</v>
      </c>
      <c r="AA25" s="134">
        <v>608.51300000000003</v>
      </c>
      <c r="AB25" s="287">
        <f t="shared" si="86"/>
        <v>-1.3622260601660052E-3</v>
      </c>
      <c r="AC25" s="288">
        <f t="shared" si="15"/>
        <v>0.13103838806328505</v>
      </c>
      <c r="AD25" s="134">
        <v>1085.6728989999999</v>
      </c>
      <c r="AE25" s="287">
        <f t="shared" si="87"/>
        <v>0.78414084662118944</v>
      </c>
      <c r="AF25" s="289">
        <f t="shared" si="16"/>
        <v>0.77476395834794887</v>
      </c>
      <c r="AG25" s="496">
        <v>1080.786724</v>
      </c>
      <c r="AH25" s="287">
        <f t="shared" si="88"/>
        <v>-4.5005959018600272E-3</v>
      </c>
      <c r="AI25" s="288">
        <f t="shared" si="17"/>
        <v>0.77251587970611579</v>
      </c>
      <c r="AJ25" s="134">
        <v>1079.931556</v>
      </c>
      <c r="AK25" s="287">
        <f t="shared" si="89"/>
        <v>-7.9124584065493053E-4</v>
      </c>
      <c r="AL25" s="288">
        <f t="shared" si="18"/>
        <v>0.77228825857659755</v>
      </c>
      <c r="AM25" s="134">
        <v>1073.201781</v>
      </c>
      <c r="AN25" s="287">
        <f t="shared" si="90"/>
        <v>-6.2316680743422781E-3</v>
      </c>
      <c r="AO25" s="288">
        <f t="shared" si="19"/>
        <v>0.76364643154706635</v>
      </c>
      <c r="AP25" s="134">
        <v>0</v>
      </c>
      <c r="AQ25" s="287">
        <f t="shared" si="91"/>
        <v>-1</v>
      </c>
      <c r="AR25" s="289">
        <f t="shared" si="20"/>
        <v>-1</v>
      </c>
      <c r="AS25" s="496">
        <v>0</v>
      </c>
      <c r="AT25" s="287">
        <f t="shared" si="102"/>
        <v>0</v>
      </c>
      <c r="AU25" s="288">
        <f t="shared" si="103"/>
        <v>-1</v>
      </c>
      <c r="AV25" s="134">
        <v>0</v>
      </c>
      <c r="AW25" s="287">
        <f t="shared" si="104"/>
        <v>0</v>
      </c>
      <c r="AX25" s="288">
        <f t="shared" si="105"/>
        <v>-1</v>
      </c>
      <c r="AY25" s="134">
        <v>0</v>
      </c>
      <c r="AZ25" s="287">
        <f t="shared" si="106"/>
        <v>0</v>
      </c>
      <c r="BA25" s="288">
        <f t="shared" si="107"/>
        <v>-1</v>
      </c>
      <c r="BB25" s="134">
        <v>788.00773700000002</v>
      </c>
      <c r="BC25" s="287">
        <f t="shared" si="108"/>
        <v>0</v>
      </c>
      <c r="BD25" s="289">
        <f t="shared" si="109"/>
        <v>0</v>
      </c>
      <c r="BE25" s="466">
        <v>797.83571099999995</v>
      </c>
      <c r="BF25" s="287">
        <f t="shared" si="92"/>
        <v>1.2471925767398861E-2</v>
      </c>
      <c r="BG25" s="288">
        <f t="shared" si="0"/>
        <v>0</v>
      </c>
      <c r="BH25" s="467">
        <v>217.46075999999999</v>
      </c>
      <c r="BI25" s="287">
        <f t="shared" si="93"/>
        <v>-0.727436667722686</v>
      </c>
      <c r="BJ25" s="288">
        <f t="shared" si="1"/>
        <v>0</v>
      </c>
      <c r="BK25" s="467">
        <v>217.46075999999999</v>
      </c>
      <c r="BL25" s="287">
        <f t="shared" si="94"/>
        <v>0</v>
      </c>
      <c r="BM25" s="288">
        <f t="shared" si="2"/>
        <v>0</v>
      </c>
      <c r="BN25" s="467">
        <v>1381.8306829999999</v>
      </c>
      <c r="BO25" s="287">
        <f t="shared" si="95"/>
        <v>5.3543909393124531</v>
      </c>
      <c r="BP25" s="289">
        <f t="shared" si="3"/>
        <v>0.75357501978435515</v>
      </c>
      <c r="BQ25" s="466">
        <v>1381.8306829999999</v>
      </c>
      <c r="BR25" s="287">
        <f t="shared" si="96"/>
        <v>0</v>
      </c>
      <c r="BS25" s="288">
        <f t="shared" si="25"/>
        <v>0.73197396901177325</v>
      </c>
      <c r="BT25" s="467">
        <v>1169.612626932</v>
      </c>
      <c r="BU25" s="287">
        <f t="shared" si="97"/>
        <v>-0.15357746696380159</v>
      </c>
      <c r="BV25" s="288">
        <f t="shared" si="26"/>
        <v>4.3784996747551146</v>
      </c>
      <c r="BW25" s="467">
        <v>1359.232555</v>
      </c>
      <c r="BX25" s="287">
        <f t="shared" si="98"/>
        <v>0.16212199124883786</v>
      </c>
      <c r="BY25" s="288">
        <f t="shared" si="27"/>
        <v>5.2504727519576413</v>
      </c>
      <c r="BZ25" s="467">
        <v>0</v>
      </c>
      <c r="CA25" s="287">
        <f t="shared" si="99"/>
        <v>-1</v>
      </c>
      <c r="CB25" s="289">
        <f t="shared" si="28"/>
        <v>-1</v>
      </c>
      <c r="CC25" s="466">
        <v>0</v>
      </c>
      <c r="CD25" s="287">
        <f t="shared" si="100"/>
        <v>0</v>
      </c>
      <c r="CE25" s="288">
        <f t="shared" si="29"/>
        <v>-1</v>
      </c>
      <c r="CF25" s="467">
        <v>0</v>
      </c>
      <c r="CG25" s="287">
        <f t="shared" si="30"/>
        <v>0</v>
      </c>
      <c r="CH25" s="288">
        <f t="shared" si="31"/>
        <v>-1</v>
      </c>
      <c r="CI25" s="467">
        <v>0</v>
      </c>
      <c r="CJ25" s="287">
        <f t="shared" si="32"/>
        <v>0</v>
      </c>
      <c r="CK25" s="288">
        <f t="shared" si="33"/>
        <v>-1</v>
      </c>
      <c r="CL25" s="467">
        <v>0</v>
      </c>
      <c r="CM25" s="287">
        <f t="shared" si="34"/>
        <v>0</v>
      </c>
      <c r="CN25" s="288">
        <f t="shared" si="35"/>
        <v>0</v>
      </c>
      <c r="CO25" s="466">
        <v>18450</v>
      </c>
      <c r="CP25" s="287">
        <f t="shared" si="101"/>
        <v>0</v>
      </c>
      <c r="CQ25" s="288">
        <f t="shared" si="68"/>
        <v>0</v>
      </c>
      <c r="CR25" s="466">
        <v>27640.088170999999</v>
      </c>
      <c r="CS25" s="287">
        <f t="shared" si="37"/>
        <v>0.49810775994579948</v>
      </c>
      <c r="CT25" s="288">
        <f t="shared" si="38"/>
        <v>0</v>
      </c>
      <c r="CU25" s="466">
        <v>0</v>
      </c>
      <c r="CV25" s="287">
        <f t="shared" si="39"/>
        <v>-1</v>
      </c>
      <c r="CW25" s="288">
        <f t="shared" si="40"/>
        <v>0</v>
      </c>
      <c r="CX25" s="466">
        <v>0</v>
      </c>
      <c r="CY25" s="287">
        <f t="shared" si="41"/>
        <v>0</v>
      </c>
      <c r="CZ25" s="288">
        <f t="shared" si="42"/>
        <v>0</v>
      </c>
    </row>
    <row r="26" spans="1:104" ht="16.2" customHeight="1">
      <c r="A26" s="141">
        <f t="shared" si="4"/>
        <v>25</v>
      </c>
      <c r="B26" s="23"/>
      <c r="C26" s="24" t="s">
        <v>486</v>
      </c>
      <c r="D26" s="636" t="s">
        <v>487</v>
      </c>
      <c r="E26" s="486"/>
      <c r="F26" s="487"/>
      <c r="G26" s="487"/>
      <c r="H26" s="487"/>
      <c r="I26" s="496"/>
      <c r="J26" s="287"/>
      <c r="K26" s="288"/>
      <c r="L26" s="134"/>
      <c r="M26" s="287"/>
      <c r="N26" s="288"/>
      <c r="O26" s="134"/>
      <c r="P26" s="287"/>
      <c r="Q26" s="288"/>
      <c r="R26" s="134"/>
      <c r="S26" s="287"/>
      <c r="T26" s="289"/>
      <c r="U26" s="496"/>
      <c r="V26" s="287"/>
      <c r="W26" s="288"/>
      <c r="X26" s="134"/>
      <c r="Y26" s="287"/>
      <c r="Z26" s="288"/>
      <c r="AA26" s="134"/>
      <c r="AB26" s="287"/>
      <c r="AC26" s="288"/>
      <c r="AD26" s="134"/>
      <c r="AE26" s="287"/>
      <c r="AF26" s="289"/>
      <c r="AG26" s="496"/>
      <c r="AH26" s="287"/>
      <c r="AI26" s="288"/>
      <c r="AJ26" s="134"/>
      <c r="AK26" s="287"/>
      <c r="AL26" s="288"/>
      <c r="AM26" s="134"/>
      <c r="AN26" s="287"/>
      <c r="AO26" s="288"/>
      <c r="AP26" s="134"/>
      <c r="AQ26" s="287"/>
      <c r="AR26" s="289"/>
      <c r="AS26" s="496"/>
      <c r="AT26" s="287"/>
      <c r="AU26" s="288"/>
      <c r="AV26" s="134"/>
      <c r="AW26" s="287"/>
      <c r="AX26" s="288"/>
      <c r="AY26" s="134"/>
      <c r="AZ26" s="287"/>
      <c r="BA26" s="288"/>
      <c r="BB26" s="134"/>
      <c r="BC26" s="287"/>
      <c r="BD26" s="289"/>
      <c r="BE26" s="466"/>
      <c r="BF26" s="287"/>
      <c r="BG26" s="288"/>
      <c r="BH26" s="467"/>
      <c r="BI26" s="287"/>
      <c r="BJ26" s="288"/>
      <c r="BK26" s="467"/>
      <c r="BL26" s="287"/>
      <c r="BM26" s="288"/>
      <c r="BN26" s="467"/>
      <c r="BO26" s="287"/>
      <c r="BP26" s="289"/>
      <c r="BQ26" s="466"/>
      <c r="BR26" s="287"/>
      <c r="BS26" s="288"/>
      <c r="BT26" s="467"/>
      <c r="BU26" s="287"/>
      <c r="BV26" s="288"/>
      <c r="BW26" s="467"/>
      <c r="BX26" s="287"/>
      <c r="BY26" s="288"/>
      <c r="BZ26" s="467"/>
      <c r="CA26" s="287"/>
      <c r="CB26" s="289"/>
      <c r="CC26" s="466">
        <v>0</v>
      </c>
      <c r="CD26" s="287">
        <f t="shared" ref="CD26" si="110">(IFERROR(CC26/BZ26-1,0))</f>
        <v>0</v>
      </c>
      <c r="CE26" s="288">
        <f t="shared" ref="CE26" si="111">IFERROR(CC26/BQ26-1,)</f>
        <v>0</v>
      </c>
      <c r="CF26" s="467">
        <v>0</v>
      </c>
      <c r="CG26" s="287">
        <f t="shared" ref="CG26" si="112">IFERROR(CF26/CC26-1,0)</f>
        <v>0</v>
      </c>
      <c r="CH26" s="288">
        <f t="shared" ref="CH26" si="113">IFERROR(CF26/BT26-1,)</f>
        <v>0</v>
      </c>
      <c r="CI26" s="467">
        <v>0</v>
      </c>
      <c r="CJ26" s="287">
        <f t="shared" ref="CJ26" si="114">IFERROR(CI26/CF26-1,0)</f>
        <v>0</v>
      </c>
      <c r="CK26" s="288">
        <f t="shared" ref="CK26" si="115">IFERROR(CI26/BW26-1,)</f>
        <v>0</v>
      </c>
      <c r="CL26" s="467">
        <v>0</v>
      </c>
      <c r="CM26" s="287">
        <f t="shared" ref="CM26" si="116">IFERROR(CL26/CI26-1,0)</f>
        <v>0</v>
      </c>
      <c r="CN26" s="288">
        <f t="shared" ref="CN26" si="117">IFERROR(CL26/BZ26-1,)</f>
        <v>0</v>
      </c>
      <c r="CO26" s="466">
        <v>15102</v>
      </c>
      <c r="CP26" s="287">
        <f t="shared" ref="CP26" si="118">(IFERROR(CO26/CL26-1,0))</f>
        <v>0</v>
      </c>
      <c r="CQ26" s="288">
        <f t="shared" ref="CQ26" si="119">IFERROR(CO26/CC26-1,)</f>
        <v>0</v>
      </c>
      <c r="CR26" s="466">
        <v>7715.4383619999999</v>
      </c>
      <c r="CS26" s="287">
        <f t="shared" ref="CS26" si="120">IFERROR(CR26/CO26-1,0)</f>
        <v>-0.48911148443914709</v>
      </c>
      <c r="CT26" s="288">
        <f t="shared" ref="CT26" si="121">IFERROR(CR26/CF26-1,)</f>
        <v>0</v>
      </c>
      <c r="CU26" s="466">
        <v>0</v>
      </c>
      <c r="CV26" s="287">
        <f t="shared" ref="CV26" si="122">IFERROR(CU26/CR26-1,0)</f>
        <v>-1</v>
      </c>
      <c r="CW26" s="288">
        <f t="shared" ref="CW26" si="123">IFERROR(CU26/CI26-1,)</f>
        <v>0</v>
      </c>
      <c r="CX26" s="466">
        <v>0</v>
      </c>
      <c r="CY26" s="287">
        <f t="shared" ref="CY26" si="124">IFERROR(CX26/CU26-1,0)</f>
        <v>0</v>
      </c>
      <c r="CZ26" s="288">
        <f t="shared" ref="CZ26" si="125">IFERROR(CX26/CL26-1,)</f>
        <v>0</v>
      </c>
    </row>
    <row r="27" spans="1:104" s="14" customFormat="1" ht="16.2" customHeight="1">
      <c r="A27" s="141">
        <f t="shared" si="4"/>
        <v>26</v>
      </c>
      <c r="B27" s="18" t="s">
        <v>21</v>
      </c>
      <c r="C27" s="19"/>
      <c r="D27" s="634" t="s">
        <v>196</v>
      </c>
      <c r="E27" s="482">
        <f t="shared" ref="E27:O27" si="126">E28+E39</f>
        <v>28686.775132999999</v>
      </c>
      <c r="F27" s="483">
        <f t="shared" si="126"/>
        <v>25552.107796</v>
      </c>
      <c r="G27" s="483">
        <f t="shared" si="126"/>
        <v>21164.073850000001</v>
      </c>
      <c r="H27" s="483">
        <f t="shared" si="126"/>
        <v>24634.180260000001</v>
      </c>
      <c r="I27" s="494">
        <f t="shared" si="126"/>
        <v>26762.678683999999</v>
      </c>
      <c r="J27" s="280">
        <f t="shared" si="5"/>
        <v>8.6404272500034018E-2</v>
      </c>
      <c r="K27" s="281">
        <f t="shared" si="6"/>
        <v>-6.7072594952877984E-2</v>
      </c>
      <c r="L27" s="282">
        <f t="shared" si="126"/>
        <v>23525.187862999999</v>
      </c>
      <c r="M27" s="280">
        <f t="shared" si="7"/>
        <v>-0.12097035798346767</v>
      </c>
      <c r="N27" s="281">
        <f t="shared" si="8"/>
        <v>-7.9324960163063341E-2</v>
      </c>
      <c r="O27" s="282">
        <f t="shared" si="126"/>
        <v>25328.675691</v>
      </c>
      <c r="P27" s="280">
        <f t="shared" si="9"/>
        <v>7.6661994731038741E-2</v>
      </c>
      <c r="Q27" s="281">
        <f t="shared" si="10"/>
        <v>0.19677694712825811</v>
      </c>
      <c r="R27" s="282">
        <f>R28+R39</f>
        <v>25740.865728999997</v>
      </c>
      <c r="S27" s="280">
        <f t="shared" si="11"/>
        <v>1.6273651375561693E-2</v>
      </c>
      <c r="T27" s="283">
        <f t="shared" si="12"/>
        <v>4.4924793815728892E-2</v>
      </c>
      <c r="U27" s="494">
        <f>U28+U39</f>
        <v>28209.630053000004</v>
      </c>
      <c r="V27" s="280">
        <f>IFERROR(U27/R27-1,0)</f>
        <v>9.5908364154926762E-2</v>
      </c>
      <c r="W27" s="281">
        <f t="shared" si="13"/>
        <v>5.4066014321094924E-2</v>
      </c>
      <c r="X27" s="282">
        <f>X28+X39</f>
        <v>21376.540517000001</v>
      </c>
      <c r="Y27" s="280">
        <f>IFERROR(X27/U27-1,0)</f>
        <v>-0.24222542171457251</v>
      </c>
      <c r="Z27" s="281">
        <f t="shared" si="14"/>
        <v>-9.1333908086632221E-2</v>
      </c>
      <c r="AA27" s="282">
        <f>AA28+AA39</f>
        <v>13144.883176000001</v>
      </c>
      <c r="AB27" s="280">
        <f>IFERROR(AA27/X27-1,0)</f>
        <v>-0.38507902316811538</v>
      </c>
      <c r="AC27" s="281">
        <f t="shared" si="15"/>
        <v>-0.48102761722079479</v>
      </c>
      <c r="AD27" s="282">
        <f>AD28+AD39</f>
        <v>13769.236723</v>
      </c>
      <c r="AE27" s="280">
        <f>IFERROR(AD27/AA27-1,0)</f>
        <v>4.7497839169841072E-2</v>
      </c>
      <c r="AF27" s="283">
        <f t="shared" si="16"/>
        <v>-0.46508260957643721</v>
      </c>
      <c r="AG27" s="494">
        <f>AG28+AG39</f>
        <v>19288.219024999999</v>
      </c>
      <c r="AH27" s="280">
        <f>IFERROR(AG27/AD27-1,0)</f>
        <v>0.40081977040754513</v>
      </c>
      <c r="AI27" s="281">
        <f t="shared" si="17"/>
        <v>-0.31625409518800984</v>
      </c>
      <c r="AJ27" s="282">
        <f>AJ28+AJ39</f>
        <v>17514.066761000002</v>
      </c>
      <c r="AK27" s="280">
        <f>IFERROR(AJ27/AG27-1,0)</f>
        <v>-9.1981134271674758E-2</v>
      </c>
      <c r="AL27" s="281">
        <f t="shared" si="18"/>
        <v>-0.18068750427265401</v>
      </c>
      <c r="AM27" s="282">
        <f>AM28+AM39</f>
        <v>19602.026471000001</v>
      </c>
      <c r="AN27" s="280">
        <f>IFERROR(AM27/AJ27-1,0)</f>
        <v>0.11921615570459232</v>
      </c>
      <c r="AO27" s="281">
        <f t="shared" si="19"/>
        <v>0.49122865593735265</v>
      </c>
      <c r="AP27" s="282">
        <f>AP28+AP39</f>
        <v>52634.773983999999</v>
      </c>
      <c r="AQ27" s="280">
        <f>IFERROR(AP27/AM27-1,0)</f>
        <v>1.6851700288166596</v>
      </c>
      <c r="AR27" s="283">
        <f t="shared" si="20"/>
        <v>2.8226355638202794</v>
      </c>
      <c r="AS27" s="494">
        <f>AS28+AS39</f>
        <v>131659.39084800001</v>
      </c>
      <c r="AT27" s="280">
        <f>IFERROR(AS27/AP27-1,0)</f>
        <v>1.5013765783058561</v>
      </c>
      <c r="AU27" s="281">
        <f t="shared" si="103"/>
        <v>5.825896713291808</v>
      </c>
      <c r="AV27" s="282">
        <f>AV28+AV39</f>
        <v>125937.03655</v>
      </c>
      <c r="AW27" s="280">
        <f>IFERROR(AV27/AS27-1,0)</f>
        <v>-4.3463320475228606E-2</v>
      </c>
      <c r="AX27" s="281">
        <f t="shared" si="105"/>
        <v>6.19062215923684</v>
      </c>
      <c r="AY27" s="282">
        <f>AY28+AY39</f>
        <v>132548.07626100001</v>
      </c>
      <c r="AZ27" s="280">
        <f>IFERROR(AY27/AV27-1,0)</f>
        <v>5.2494801307916061E-2</v>
      </c>
      <c r="BA27" s="281">
        <f t="shared" si="107"/>
        <v>5.7619578239574762</v>
      </c>
      <c r="BB27" s="282">
        <f>BB28+BB39</f>
        <v>101857.251139</v>
      </c>
      <c r="BC27" s="280">
        <f>IFERROR(BB27/AY27-1,0)</f>
        <v>-0.23154485517818302</v>
      </c>
      <c r="BD27" s="283">
        <f t="shared" si="109"/>
        <v>0.93517029578131616</v>
      </c>
      <c r="BE27" s="462">
        <f>BE28+BE39</f>
        <v>111471.354148</v>
      </c>
      <c r="BF27" s="280">
        <f>IFERROR(BE27/BB27-1,0)</f>
        <v>9.4388007741148083E-2</v>
      </c>
      <c r="BG27" s="281">
        <f t="shared" si="0"/>
        <v>-0.1533353342285092</v>
      </c>
      <c r="BH27" s="463">
        <f>BH28+BH39</f>
        <v>99556.264697999999</v>
      </c>
      <c r="BI27" s="280">
        <f>IFERROR(BH27/BE27-1,0)</f>
        <v>-0.10688925007747185</v>
      </c>
      <c r="BJ27" s="281">
        <f t="shared" si="1"/>
        <v>-0.20947588235114778</v>
      </c>
      <c r="BK27" s="463">
        <f>BK28+BK39</f>
        <v>91940.687735</v>
      </c>
      <c r="BL27" s="280">
        <f>IFERROR(BK27/BH27-1,0)</f>
        <v>-7.6495205862750604E-2</v>
      </c>
      <c r="BM27" s="281">
        <f t="shared" si="2"/>
        <v>-0.30635969733759183</v>
      </c>
      <c r="BN27" s="463">
        <f>BN28+BN39</f>
        <v>91942.522090999992</v>
      </c>
      <c r="BO27" s="280">
        <f>IFERROR(BN27/BK27-1,0)</f>
        <v>1.9951514886207278E-5</v>
      </c>
      <c r="BP27" s="283">
        <f t="shared" si="3"/>
        <v>-9.7339452391757786E-2</v>
      </c>
      <c r="BQ27" s="462">
        <f>BQ28+BQ39</f>
        <v>105627.39580699999</v>
      </c>
      <c r="BR27" s="280">
        <f>IFERROR(BQ27/BN27-1,0)</f>
        <v>0.14884161761905346</v>
      </c>
      <c r="BS27" s="281">
        <f t="shared" si="25"/>
        <v>-5.2425651286526986E-2</v>
      </c>
      <c r="BT27" s="463">
        <f>BT28+BT39</f>
        <v>93593.965893000001</v>
      </c>
      <c r="BU27" s="280">
        <f>IFERROR(BT27/BQ27-1,0)</f>
        <v>-0.1139233796503627</v>
      </c>
      <c r="BV27" s="281">
        <f t="shared" si="26"/>
        <v>-5.9888735511385405E-2</v>
      </c>
      <c r="BW27" s="463">
        <f>BW28+BW39</f>
        <v>91694.121572000004</v>
      </c>
      <c r="BX27" s="280">
        <f>IFERROR(BW27/BT27-1,0)</f>
        <v>-2.0298790663192623E-2</v>
      </c>
      <c r="BY27" s="281">
        <f t="shared" si="27"/>
        <v>-2.6817959390370572E-3</v>
      </c>
      <c r="BZ27" s="463">
        <f>BZ28+BZ39</f>
        <v>155734.90407300001</v>
      </c>
      <c r="CA27" s="280">
        <f>IFERROR(BZ27/BW27-1,0)</f>
        <v>0.69841753651256644</v>
      </c>
      <c r="CB27" s="283">
        <f t="shared" si="28"/>
        <v>0.69382893280719005</v>
      </c>
      <c r="CC27" s="462">
        <f>CC28+CC39</f>
        <v>165152.622</v>
      </c>
      <c r="CD27" s="280">
        <f>IFERROR(CC27/BZ27-1,0)</f>
        <v>6.0472750043147006E-2</v>
      </c>
      <c r="CE27" s="281">
        <f t="shared" si="29"/>
        <v>0.56353965501301539</v>
      </c>
      <c r="CF27" s="463">
        <f>CF28+CF39</f>
        <v>131815.66787</v>
      </c>
      <c r="CG27" s="280">
        <f t="shared" si="30"/>
        <v>-0.20185543363640934</v>
      </c>
      <c r="CH27" s="281">
        <f t="shared" si="31"/>
        <v>0.40837784372441743</v>
      </c>
      <c r="CI27" s="463">
        <f>CI28+CI39</f>
        <v>136049.13924300001</v>
      </c>
      <c r="CJ27" s="280">
        <f t="shared" si="32"/>
        <v>3.2116602232559854E-2</v>
      </c>
      <c r="CK27" s="281">
        <f t="shared" si="33"/>
        <v>0.48372803960144362</v>
      </c>
      <c r="CL27" s="463">
        <f>CL28+CL39</f>
        <v>152975.43700000001</v>
      </c>
      <c r="CM27" s="280">
        <f t="shared" si="34"/>
        <v>0.12441311904787278</v>
      </c>
      <c r="CN27" s="281">
        <f t="shared" si="35"/>
        <v>-1.7719001975989412E-2</v>
      </c>
      <c r="CO27" s="462">
        <f>CO28+CO39</f>
        <v>270549.71834799997</v>
      </c>
      <c r="CP27" s="280">
        <f>IFERROR(CO27/CL27-1,0)</f>
        <v>0.76858274539853055</v>
      </c>
      <c r="CQ27" s="281">
        <f t="shared" si="68"/>
        <v>0.63817997602242094</v>
      </c>
      <c r="CR27" s="462">
        <f>CR28+CR39</f>
        <v>219647.32387200001</v>
      </c>
      <c r="CS27" s="280">
        <f t="shared" si="37"/>
        <v>-0.18814432625106536</v>
      </c>
      <c r="CT27" s="281">
        <f t="shared" si="38"/>
        <v>0.66632182214197666</v>
      </c>
      <c r="CU27" s="462">
        <f>CU28+CU39</f>
        <v>0</v>
      </c>
      <c r="CV27" s="280">
        <f t="shared" si="39"/>
        <v>-1</v>
      </c>
      <c r="CW27" s="281">
        <f t="shared" si="40"/>
        <v>-1</v>
      </c>
      <c r="CX27" s="462">
        <f>CX28+CX39</f>
        <v>0</v>
      </c>
      <c r="CY27" s="280">
        <f t="shared" si="41"/>
        <v>0</v>
      </c>
      <c r="CZ27" s="281">
        <f t="shared" si="42"/>
        <v>-1</v>
      </c>
    </row>
    <row r="28" spans="1:104" s="22" customFormat="1" ht="16.2" customHeight="1">
      <c r="A28" s="141">
        <f t="shared" si="4"/>
        <v>27</v>
      </c>
      <c r="B28" s="20" t="s">
        <v>22</v>
      </c>
      <c r="C28" s="21"/>
      <c r="D28" s="635" t="s">
        <v>249</v>
      </c>
      <c r="E28" s="484">
        <f>SUM(E29:E37)</f>
        <v>15629.550952</v>
      </c>
      <c r="F28" s="485">
        <f t="shared" ref="F28:O28" si="127">SUM(F29:F37)</f>
        <v>14544.107796</v>
      </c>
      <c r="G28" s="485">
        <f t="shared" si="127"/>
        <v>10756.073849999999</v>
      </c>
      <c r="H28" s="485">
        <f t="shared" si="127"/>
        <v>14824.976246999999</v>
      </c>
      <c r="I28" s="495">
        <f t="shared" si="127"/>
        <v>17327.439812999997</v>
      </c>
      <c r="J28" s="284">
        <f t="shared" si="5"/>
        <v>0.16880051099619142</v>
      </c>
      <c r="K28" s="285">
        <f t="shared" si="6"/>
        <v>0.10863324648381734</v>
      </c>
      <c r="L28" s="135">
        <f t="shared" si="127"/>
        <v>14811.451136</v>
      </c>
      <c r="M28" s="284">
        <f t="shared" si="7"/>
        <v>-0.14520256334189452</v>
      </c>
      <c r="N28" s="285">
        <f t="shared" si="8"/>
        <v>1.8381556555399303E-2</v>
      </c>
      <c r="O28" s="135">
        <f t="shared" si="127"/>
        <v>25087.843038999999</v>
      </c>
      <c r="P28" s="284">
        <f t="shared" si="9"/>
        <v>0.69381398275167627</v>
      </c>
      <c r="Q28" s="285">
        <f t="shared" si="10"/>
        <v>1.3324349933688864</v>
      </c>
      <c r="R28" s="135">
        <f>SUM(R29:R37)</f>
        <v>25487.018111999998</v>
      </c>
      <c r="S28" s="284">
        <f t="shared" si="11"/>
        <v>1.5911095759785665E-2</v>
      </c>
      <c r="T28" s="286">
        <f t="shared" si="12"/>
        <v>0.71919453275060619</v>
      </c>
      <c r="U28" s="495">
        <f>SUM(U29:U37)</f>
        <v>27963.029330000005</v>
      </c>
      <c r="V28" s="284">
        <f>IFERROR(U28/R28-1,0)</f>
        <v>9.7147936534569768E-2</v>
      </c>
      <c r="W28" s="285">
        <f t="shared" si="13"/>
        <v>0.61380040166237393</v>
      </c>
      <c r="X28" s="135">
        <f>SUM(X29:X37)</f>
        <v>21165.697470000003</v>
      </c>
      <c r="Y28" s="284">
        <f>IFERROR(X28/U28-1,0)</f>
        <v>-0.24308281408937038</v>
      </c>
      <c r="Z28" s="285">
        <f t="shared" si="14"/>
        <v>0.42900903332528162</v>
      </c>
      <c r="AA28" s="135">
        <f>SUM(AA29:AA37)</f>
        <v>12930.955371000002</v>
      </c>
      <c r="AB28" s="284">
        <f>IFERROR(AA28/X28-1,0)</f>
        <v>-0.38906074844317429</v>
      </c>
      <c r="AC28" s="285">
        <f t="shared" si="15"/>
        <v>-0.48457285264028704</v>
      </c>
      <c r="AD28" s="135">
        <f>SUM(AD29:AD37)</f>
        <v>13449.682548999999</v>
      </c>
      <c r="AE28" s="284">
        <f>IFERROR(AD28/AA28-1,0)</f>
        <v>4.0115147188840794E-2</v>
      </c>
      <c r="AF28" s="286">
        <f t="shared" si="16"/>
        <v>-0.47229281629193354</v>
      </c>
      <c r="AG28" s="495">
        <f>SUM(AG29:AG37)</f>
        <v>18821.180475999998</v>
      </c>
      <c r="AH28" s="284">
        <f>IFERROR(AG28/AD28-1,0)</f>
        <v>0.39937730183820408</v>
      </c>
      <c r="AI28" s="285">
        <f t="shared" si="17"/>
        <v>-0.32692626918615775</v>
      </c>
      <c r="AJ28" s="135">
        <f>SUM(AJ29:AJ37)</f>
        <v>17084.193186</v>
      </c>
      <c r="AK28" s="284">
        <f>IFERROR(AJ28/AG28-1,0)</f>
        <v>-9.2288966264094441E-2</v>
      </c>
      <c r="AL28" s="285">
        <f t="shared" si="18"/>
        <v>-0.19283580377094001</v>
      </c>
      <c r="AM28" s="135">
        <f>SUM(AM29:AM37)</f>
        <v>19161.16633</v>
      </c>
      <c r="AN28" s="284">
        <f>IFERROR(AM28/AJ28-1,0)</f>
        <v>0.12157279664233833</v>
      </c>
      <c r="AO28" s="285">
        <f t="shared" si="19"/>
        <v>0.48180592850644044</v>
      </c>
      <c r="AP28" s="135">
        <f>SUM(AP29:AP37)</f>
        <v>16793.038427</v>
      </c>
      <c r="AQ28" s="284">
        <f>IFERROR(AP28/AM28-1,0)</f>
        <v>-0.12358996640472253</v>
      </c>
      <c r="AR28" s="286">
        <f t="shared" si="20"/>
        <v>0.24858251232469297</v>
      </c>
      <c r="AS28" s="495">
        <f>SUM(AS29:AS37)</f>
        <v>28639.066834999998</v>
      </c>
      <c r="AT28" s="284">
        <f>IFERROR(AS28/AP28-1,0)</f>
        <v>0.70541304716803643</v>
      </c>
      <c r="AU28" s="285">
        <f t="shared" si="103"/>
        <v>0.52164030686169593</v>
      </c>
      <c r="AV28" s="135">
        <f>SUM(AV29:AV37)</f>
        <v>23830.713971999998</v>
      </c>
      <c r="AW28" s="284">
        <f>IFERROR(AV28/AS28-1,0)</f>
        <v>-0.1678948860555638</v>
      </c>
      <c r="AX28" s="285">
        <f t="shared" si="105"/>
        <v>0.39489841355391464</v>
      </c>
      <c r="AY28" s="135">
        <f>SUM(AY29:AY37)</f>
        <v>30950.188412999996</v>
      </c>
      <c r="AZ28" s="284">
        <f>IFERROR(AY28/AV28-1,0)</f>
        <v>0.29875204114174081</v>
      </c>
      <c r="BA28" s="285">
        <f t="shared" si="107"/>
        <v>0.61525597554791411</v>
      </c>
      <c r="BB28" s="135">
        <f>SUM(BB29:BB37)</f>
        <v>36225.225301999999</v>
      </c>
      <c r="BC28" s="284">
        <f>IFERROR(BB28/AY28-1,0)</f>
        <v>0.17043634173110012</v>
      </c>
      <c r="BD28" s="286">
        <f t="shared" si="109"/>
        <v>1.1571572922596753</v>
      </c>
      <c r="BE28" s="464">
        <f>SUM(BE29:BE37)</f>
        <v>46341.958490999998</v>
      </c>
      <c r="BF28" s="284">
        <f>IFERROR(BE28/BB28-1,0)</f>
        <v>0.27927316130291824</v>
      </c>
      <c r="BG28" s="285">
        <f t="shared" si="0"/>
        <v>0.61813786594349418</v>
      </c>
      <c r="BH28" s="465">
        <f>SUM(BH29:BH37)</f>
        <v>34842.197817</v>
      </c>
      <c r="BI28" s="284">
        <f>IFERROR(BH28/BE28-1,0)</f>
        <v>-0.24815007929009625</v>
      </c>
      <c r="BJ28" s="285">
        <f t="shared" si="1"/>
        <v>0.46207108431321009</v>
      </c>
      <c r="BK28" s="465">
        <f>SUM(BK29:BK37)</f>
        <v>28294.889489999998</v>
      </c>
      <c r="BL28" s="284">
        <f>IFERROR(BK28/BH28-1,0)</f>
        <v>-0.18791318393254397</v>
      </c>
      <c r="BM28" s="285">
        <f t="shared" si="2"/>
        <v>-8.5792657788302695E-2</v>
      </c>
      <c r="BN28" s="465">
        <f>SUM(BN29:BN37)</f>
        <v>29246.386637999996</v>
      </c>
      <c r="BO28" s="284">
        <f>IFERROR(BN28/BK28-1,0)</f>
        <v>3.3627879986464659E-2</v>
      </c>
      <c r="BP28" s="286">
        <f t="shared" si="3"/>
        <v>-0.19265135291276436</v>
      </c>
      <c r="BQ28" s="464">
        <f>SUM(BQ29:BQ37)</f>
        <v>105042.69976599999</v>
      </c>
      <c r="BR28" s="284">
        <f>IFERROR(BQ28/BN28-1,0)</f>
        <v>2.5916471004153867</v>
      </c>
      <c r="BS28" s="285">
        <f t="shared" si="25"/>
        <v>1.2666866741594482</v>
      </c>
      <c r="BT28" s="465">
        <f>SUM(BT29:BT37)</f>
        <v>93051.082527999999</v>
      </c>
      <c r="BU28" s="284">
        <f>IFERROR(BT28/BQ28-1,0)</f>
        <v>-0.11415945386698267</v>
      </c>
      <c r="BV28" s="285">
        <f t="shared" si="26"/>
        <v>1.6706433106409566</v>
      </c>
      <c r="BW28" s="465">
        <f>SUM(BW29:BW37)</f>
        <v>91165.170486000003</v>
      </c>
      <c r="BX28" s="284">
        <f>IFERROR(BW28/BT28-1,0)</f>
        <v>-2.0267491691270845E-2</v>
      </c>
      <c r="BY28" s="285">
        <f t="shared" si="27"/>
        <v>2.2219659496539004</v>
      </c>
      <c r="BZ28" s="465">
        <f>SUM(BZ29:BZ38)</f>
        <v>128903.661305</v>
      </c>
      <c r="CA28" s="284">
        <f>IFERROR(BZ28/BW28-1,0)</f>
        <v>0.41395733280392877</v>
      </c>
      <c r="CB28" s="286">
        <f t="shared" si="28"/>
        <v>3.4075072555292945</v>
      </c>
      <c r="CC28" s="464">
        <f>SUM(CC29:CC38)</f>
        <v>71372.622000000003</v>
      </c>
      <c r="CD28" s="284">
        <f>IFERROR(CC28/BZ28-1,0)</f>
        <v>-0.44631035862414592</v>
      </c>
      <c r="CE28" s="285">
        <f t="shared" si="29"/>
        <v>-0.32053705627335993</v>
      </c>
      <c r="CF28" s="465">
        <f>SUM(CF29:CF38)</f>
        <v>47098</v>
      </c>
      <c r="CG28" s="284">
        <f t="shared" si="30"/>
        <v>-0.340111114314954</v>
      </c>
      <c r="CH28" s="285">
        <f t="shared" si="31"/>
        <v>-0.49384790890715602</v>
      </c>
      <c r="CI28" s="465">
        <f>SUM(CI29:CI38)</f>
        <v>44850.328578000001</v>
      </c>
      <c r="CJ28" s="284">
        <f t="shared" si="32"/>
        <v>-4.7723288080173232E-2</v>
      </c>
      <c r="CK28" s="285">
        <f t="shared" si="33"/>
        <v>-0.50803219761556251</v>
      </c>
      <c r="CL28" s="465">
        <f>SUM(CL29:CL38)</f>
        <v>80204.027000000002</v>
      </c>
      <c r="CM28" s="284">
        <f t="shared" si="34"/>
        <v>0.78825951877957268</v>
      </c>
      <c r="CN28" s="285">
        <f t="shared" si="35"/>
        <v>-0.37779868943963812</v>
      </c>
      <c r="CO28" s="464">
        <f>SUM(CO29:CO38)</f>
        <v>252335.71834799999</v>
      </c>
      <c r="CP28" s="284">
        <f>IFERROR(CO28/CL28-1,0)</f>
        <v>2.1461726771898872</v>
      </c>
      <c r="CQ28" s="285">
        <f t="shared" si="68"/>
        <v>2.5354693617392954</v>
      </c>
      <c r="CR28" s="464">
        <f>SUM(CR29:CR38)</f>
        <v>198900.735468</v>
      </c>
      <c r="CS28" s="284">
        <f t="shared" si="37"/>
        <v>-0.21176147090800279</v>
      </c>
      <c r="CT28" s="285">
        <f t="shared" si="38"/>
        <v>3.2231248772347021</v>
      </c>
      <c r="CU28" s="464">
        <f>SUM(CU29:CU38)</f>
        <v>0</v>
      </c>
      <c r="CV28" s="284">
        <f t="shared" si="39"/>
        <v>-1</v>
      </c>
      <c r="CW28" s="285">
        <f t="shared" si="40"/>
        <v>-1</v>
      </c>
      <c r="CX28" s="464">
        <f>SUM(CX29:CX38)</f>
        <v>0</v>
      </c>
      <c r="CY28" s="284">
        <f t="shared" si="41"/>
        <v>0</v>
      </c>
      <c r="CZ28" s="285">
        <f t="shared" si="42"/>
        <v>-1</v>
      </c>
    </row>
    <row r="29" spans="1:104" ht="16.2" customHeight="1">
      <c r="A29" s="141">
        <f t="shared" si="4"/>
        <v>28</v>
      </c>
      <c r="B29" s="23"/>
      <c r="C29" s="24" t="s">
        <v>328</v>
      </c>
      <c r="D29" s="636" t="s">
        <v>329</v>
      </c>
      <c r="E29" s="486">
        <v>1229.8182979999999</v>
      </c>
      <c r="F29" s="487">
        <v>941.60597700000005</v>
      </c>
      <c r="G29" s="487">
        <v>836.10448899999994</v>
      </c>
      <c r="H29" s="487">
        <v>849.05637200000001</v>
      </c>
      <c r="I29" s="496">
        <v>1253.663935</v>
      </c>
      <c r="J29" s="287">
        <f t="shared" si="5"/>
        <v>0.47653792650648641</v>
      </c>
      <c r="K29" s="288">
        <f t="shared" si="6"/>
        <v>1.9389561074818262E-2</v>
      </c>
      <c r="L29" s="134">
        <v>994.892383</v>
      </c>
      <c r="M29" s="287">
        <f t="shared" si="7"/>
        <v>-0.20641221684342381</v>
      </c>
      <c r="N29" s="288">
        <f t="shared" si="8"/>
        <v>5.6590981048965761E-2</v>
      </c>
      <c r="O29" s="134">
        <v>1049.041506</v>
      </c>
      <c r="P29" s="287">
        <f t="shared" si="9"/>
        <v>5.4427115862238917E-2</v>
      </c>
      <c r="Q29" s="288">
        <f t="shared" si="10"/>
        <v>0.25467751913959646</v>
      </c>
      <c r="R29" s="134">
        <v>705.81276700000001</v>
      </c>
      <c r="S29" s="287">
        <f t="shared" si="11"/>
        <v>-0.32718318296931148</v>
      </c>
      <c r="T29" s="289">
        <f t="shared" si="12"/>
        <v>-0.168709180831635</v>
      </c>
      <c r="U29" s="496">
        <v>942.07138499999996</v>
      </c>
      <c r="V29" s="287">
        <f>(IFERROR(U29/R29-1,0))</f>
        <v>0.33473270681146516</v>
      </c>
      <c r="W29" s="288">
        <f t="shared" si="13"/>
        <v>-0.24854551630696786</v>
      </c>
      <c r="X29" s="134">
        <v>489.10928000000001</v>
      </c>
      <c r="Y29" s="287">
        <f>(IFERROR(X29/U29-1,0))</f>
        <v>-0.48081505522004575</v>
      </c>
      <c r="Z29" s="288">
        <f t="shared" si="14"/>
        <v>-0.50837971185874475</v>
      </c>
      <c r="AA29" s="134">
        <v>679.10591199999999</v>
      </c>
      <c r="AB29" s="287">
        <f>(IFERROR(AA29/X29-1,0))</f>
        <v>0.38845435932027295</v>
      </c>
      <c r="AC29" s="288">
        <f t="shared" si="15"/>
        <v>-0.35264152265105897</v>
      </c>
      <c r="AD29" s="134">
        <v>840.32986200000005</v>
      </c>
      <c r="AE29" s="287">
        <f>(IFERROR(AD29/AA29-1,0))</f>
        <v>0.23740619416077191</v>
      </c>
      <c r="AF29" s="289">
        <f t="shared" si="16"/>
        <v>0.19058467243622412</v>
      </c>
      <c r="AG29" s="496">
        <v>1915.8370050000001</v>
      </c>
      <c r="AH29" s="287">
        <f>(IFERROR(AG29/AD29-1,0))</f>
        <v>1.2798630533494002</v>
      </c>
      <c r="AI29" s="288">
        <f t="shared" si="17"/>
        <v>1.0336431352280169</v>
      </c>
      <c r="AJ29" s="134">
        <v>1966.1580779999999</v>
      </c>
      <c r="AK29" s="287">
        <f>(IFERROR(AJ29/AG29-1,0))</f>
        <v>2.6265842484862079E-2</v>
      </c>
      <c r="AL29" s="288">
        <f t="shared" si="18"/>
        <v>3.0198748181592459</v>
      </c>
      <c r="AM29" s="134">
        <v>1918.8454369999999</v>
      </c>
      <c r="AN29" s="287">
        <f>(IFERROR(AM29/AJ29-1,0))</f>
        <v>-2.4063498011374085E-2</v>
      </c>
      <c r="AO29" s="288">
        <f t="shared" si="19"/>
        <v>1.8255466534651519</v>
      </c>
      <c r="AP29" s="134">
        <v>1762.6824790000001</v>
      </c>
      <c r="AQ29" s="287">
        <f>(IFERROR(AP29/AM29-1,0))</f>
        <v>-8.138381288497698E-2</v>
      </c>
      <c r="AR29" s="289">
        <f t="shared" si="20"/>
        <v>1.097607807016145</v>
      </c>
      <c r="AS29" s="496">
        <v>3727.2651599999999</v>
      </c>
      <c r="AT29" s="287">
        <f>(IFERROR(AS29/AP29-1,0))</f>
        <v>1.114541447143981</v>
      </c>
      <c r="AU29" s="288">
        <f t="shared" si="103"/>
        <v>0.94550222710621457</v>
      </c>
      <c r="AV29" s="134">
        <v>2441.8786580000001</v>
      </c>
      <c r="AW29" s="287">
        <f>(IFERROR(AV29/AS29-1,0))</f>
        <v>-0.34486049337042601</v>
      </c>
      <c r="AX29" s="288">
        <f t="shared" si="105"/>
        <v>0.24195439081068648</v>
      </c>
      <c r="AY29" s="134">
        <v>3341.5634479999999</v>
      </c>
      <c r="AZ29" s="287">
        <f>(IFERROR(AY29/AV29-1,0))</f>
        <v>0.36843959754203315</v>
      </c>
      <c r="BA29" s="288">
        <f t="shared" si="107"/>
        <v>0.74144482070652562</v>
      </c>
      <c r="BB29" s="134">
        <v>2124.969047</v>
      </c>
      <c r="BC29" s="287">
        <f>(IFERROR(BB29/AY29-1,0))</f>
        <v>-0.36407939574756798</v>
      </c>
      <c r="BD29" s="289">
        <f t="shared" si="109"/>
        <v>0.20553138317091091</v>
      </c>
      <c r="BE29" s="466">
        <v>4731.2892769999999</v>
      </c>
      <c r="BF29" s="287">
        <f>(IFERROR(BE29/BB29-1,0))</f>
        <v>1.2265215033035726</v>
      </c>
      <c r="BG29" s="288">
        <f t="shared" si="0"/>
        <v>0.26937287096579943</v>
      </c>
      <c r="BH29" s="467">
        <v>3898.8697830000001</v>
      </c>
      <c r="BI29" s="287">
        <f>(IFERROR(BH29/BE29-1,0))</f>
        <v>-0.17593925149464074</v>
      </c>
      <c r="BJ29" s="288">
        <f t="shared" si="1"/>
        <v>0.59666811052492519</v>
      </c>
      <c r="BK29" s="467">
        <v>5110.6777039999997</v>
      </c>
      <c r="BL29" s="287">
        <f>(IFERROR(BK29/BH29-1,0))</f>
        <v>0.31081005225764935</v>
      </c>
      <c r="BM29" s="288">
        <f t="shared" si="2"/>
        <v>0.52942710307022733</v>
      </c>
      <c r="BN29" s="467">
        <v>2374.5903090000002</v>
      </c>
      <c r="BO29" s="287">
        <f>(IFERROR(BN29/BK29-1,0))</f>
        <v>-0.5353668443734052</v>
      </c>
      <c r="BP29" s="289">
        <f t="shared" si="3"/>
        <v>0.1174705402661802</v>
      </c>
      <c r="BQ29" s="466">
        <v>4869.3168329999999</v>
      </c>
      <c r="BR29" s="287">
        <f>(IFERROR(BQ29/BN29-1,0))</f>
        <v>1.0505923967366781</v>
      </c>
      <c r="BS29" s="288">
        <f t="shared" si="25"/>
        <v>2.917334957111728E-2</v>
      </c>
      <c r="BT29" s="467">
        <v>6592.5202999999992</v>
      </c>
      <c r="BU29" s="287">
        <f>(IFERROR(BT29/BQ29-1,0))</f>
        <v>0.3538901916017505</v>
      </c>
      <c r="BV29" s="288">
        <f t="shared" si="26"/>
        <v>0.69087983618867099</v>
      </c>
      <c r="BW29" s="467">
        <v>6891.7934020000002</v>
      </c>
      <c r="BX29" s="287">
        <f>(IFERROR(BW29/BT29-1,0))</f>
        <v>4.5395855967254484E-2</v>
      </c>
      <c r="BY29" s="288">
        <f t="shared" si="27"/>
        <v>0.34850871081265122</v>
      </c>
      <c r="BZ29" s="467">
        <v>3920.684557</v>
      </c>
      <c r="CA29" s="287">
        <f t="shared" ref="CA29:CA38" si="128">(IFERROR(BZ29/BW29-1,0))</f>
        <v>-0.4311082285400174</v>
      </c>
      <c r="CB29" s="289">
        <f t="shared" si="28"/>
        <v>0.65109936738986329</v>
      </c>
      <c r="CC29" s="466">
        <v>4044.3710000000001</v>
      </c>
      <c r="CD29" s="287">
        <f t="shared" ref="CD29:CD34" si="129">(IFERROR(CC29/BZ29-1,0))</f>
        <v>3.1547154891400364E-2</v>
      </c>
      <c r="CE29" s="288">
        <f t="shared" si="29"/>
        <v>-0.16941716082412905</v>
      </c>
      <c r="CF29" s="467">
        <v>4995</v>
      </c>
      <c r="CG29" s="287">
        <f t="shared" si="30"/>
        <v>0.2350499002193418</v>
      </c>
      <c r="CH29" s="288">
        <f t="shared" si="31"/>
        <v>-0.24232315219416156</v>
      </c>
      <c r="CI29" s="467">
        <v>4750.3910749999995</v>
      </c>
      <c r="CJ29" s="287">
        <f t="shared" si="32"/>
        <v>-4.8970755755755824E-2</v>
      </c>
      <c r="CK29" s="288">
        <f t="shared" si="33"/>
        <v>-0.31071771919027136</v>
      </c>
      <c r="CL29" s="467">
        <v>4594</v>
      </c>
      <c r="CM29" s="287">
        <f t="shared" si="34"/>
        <v>-3.2921726344393609E-2</v>
      </c>
      <c r="CN29" s="288">
        <f t="shared" si="35"/>
        <v>0.1717341533630552</v>
      </c>
      <c r="CO29" s="466">
        <v>2246.1551989999998</v>
      </c>
      <c r="CP29" s="287">
        <f t="shared" ref="CP29:CP32" si="130">(IFERROR(CO29/CL29-1,0))</f>
        <v>-0.51106765367871143</v>
      </c>
      <c r="CQ29" s="288">
        <f t="shared" si="68"/>
        <v>-0.44462187099056938</v>
      </c>
      <c r="CR29" s="466">
        <v>8381.6771740000004</v>
      </c>
      <c r="CS29" s="287">
        <f t="shared" si="37"/>
        <v>2.7315663573610443</v>
      </c>
      <c r="CT29" s="288">
        <f t="shared" si="38"/>
        <v>0.67801344824824827</v>
      </c>
      <c r="CU29" s="466">
        <v>0</v>
      </c>
      <c r="CV29" s="287">
        <f t="shared" si="39"/>
        <v>-1</v>
      </c>
      <c r="CW29" s="288">
        <f t="shared" si="40"/>
        <v>-1</v>
      </c>
      <c r="CX29" s="466">
        <v>0</v>
      </c>
      <c r="CY29" s="287">
        <f t="shared" si="41"/>
        <v>0</v>
      </c>
      <c r="CZ29" s="288">
        <f t="shared" si="42"/>
        <v>-1</v>
      </c>
    </row>
    <row r="30" spans="1:104" ht="16.2" customHeight="1">
      <c r="A30" s="141">
        <f t="shared" si="4"/>
        <v>29</v>
      </c>
      <c r="B30" s="23"/>
      <c r="C30" s="24" t="s">
        <v>327</v>
      </c>
      <c r="D30" s="636" t="s">
        <v>370</v>
      </c>
      <c r="E30" s="534"/>
      <c r="F30" s="535"/>
      <c r="G30" s="535"/>
      <c r="H30" s="535"/>
      <c r="I30" s="536"/>
      <c r="J30" s="537"/>
      <c r="K30" s="538"/>
      <c r="L30" s="539"/>
      <c r="M30" s="537"/>
      <c r="N30" s="538"/>
      <c r="O30" s="539"/>
      <c r="P30" s="537"/>
      <c r="Q30" s="538"/>
      <c r="R30" s="539"/>
      <c r="S30" s="537"/>
      <c r="T30" s="540"/>
      <c r="U30" s="536"/>
      <c r="V30" s="537"/>
      <c r="W30" s="538"/>
      <c r="X30" s="539"/>
      <c r="Y30" s="537"/>
      <c r="Z30" s="538"/>
      <c r="AA30" s="539"/>
      <c r="AB30" s="537"/>
      <c r="AC30" s="538"/>
      <c r="AD30" s="539"/>
      <c r="AE30" s="537"/>
      <c r="AF30" s="540"/>
      <c r="AG30" s="536"/>
      <c r="AH30" s="537"/>
      <c r="AI30" s="538"/>
      <c r="AJ30" s="539"/>
      <c r="AK30" s="537"/>
      <c r="AL30" s="538"/>
      <c r="AM30" s="539"/>
      <c r="AN30" s="537"/>
      <c r="AO30" s="538"/>
      <c r="AP30" s="539"/>
      <c r="AQ30" s="537"/>
      <c r="AR30" s="540"/>
      <c r="AS30" s="536"/>
      <c r="AT30" s="537"/>
      <c r="AU30" s="538"/>
      <c r="AV30" s="539"/>
      <c r="AW30" s="537"/>
      <c r="AX30" s="538"/>
      <c r="AY30" s="539"/>
      <c r="AZ30" s="537"/>
      <c r="BA30" s="538"/>
      <c r="BB30" s="539"/>
      <c r="BC30" s="537"/>
      <c r="BD30" s="540"/>
      <c r="BE30" s="541"/>
      <c r="BF30" s="537"/>
      <c r="BG30" s="538"/>
      <c r="BH30" s="542"/>
      <c r="BI30" s="537"/>
      <c r="BJ30" s="538"/>
      <c r="BK30" s="542"/>
      <c r="BL30" s="537"/>
      <c r="BM30" s="538"/>
      <c r="BN30" s="542"/>
      <c r="BO30" s="537"/>
      <c r="BP30" s="540"/>
      <c r="BQ30" s="541"/>
      <c r="BR30" s="537"/>
      <c r="BS30" s="538"/>
      <c r="BT30" s="542"/>
      <c r="BU30" s="537"/>
      <c r="BV30" s="538"/>
      <c r="BW30" s="542"/>
      <c r="BX30" s="537"/>
      <c r="BY30" s="538"/>
      <c r="BZ30" s="467">
        <v>20700.788656000001</v>
      </c>
      <c r="CA30" s="287">
        <f t="shared" si="128"/>
        <v>0</v>
      </c>
      <c r="CB30" s="289">
        <f t="shared" si="28"/>
        <v>0</v>
      </c>
      <c r="CC30" s="466">
        <v>26550.251</v>
      </c>
      <c r="CD30" s="287">
        <f t="shared" si="129"/>
        <v>0.28257195613194996</v>
      </c>
      <c r="CE30" s="288">
        <f t="shared" si="29"/>
        <v>0</v>
      </c>
      <c r="CF30" s="467">
        <v>9778</v>
      </c>
      <c r="CG30" s="287">
        <f t="shared" si="30"/>
        <v>-0.63171722933994112</v>
      </c>
      <c r="CH30" s="288">
        <f t="shared" si="31"/>
        <v>0</v>
      </c>
      <c r="CI30" s="467">
        <v>11034.160042</v>
      </c>
      <c r="CJ30" s="287">
        <f t="shared" si="32"/>
        <v>0.128467993659235</v>
      </c>
      <c r="CK30" s="288">
        <f t="shared" si="33"/>
        <v>0</v>
      </c>
      <c r="CL30" s="467">
        <v>17129.642</v>
      </c>
      <c r="CM30" s="287">
        <f t="shared" si="34"/>
        <v>0.55241920860295601</v>
      </c>
      <c r="CN30" s="288">
        <f t="shared" si="35"/>
        <v>-0.17251258951261861</v>
      </c>
      <c r="CO30" s="466">
        <v>75568.221183000001</v>
      </c>
      <c r="CP30" s="287">
        <f t="shared" si="130"/>
        <v>3.4115470237498249</v>
      </c>
      <c r="CQ30" s="288">
        <f t="shared" si="68"/>
        <v>1.84623377696128</v>
      </c>
      <c r="CR30" s="466">
        <v>18378.73486</v>
      </c>
      <c r="CS30" s="287">
        <f t="shared" si="37"/>
        <v>-0.756792808242858</v>
      </c>
      <c r="CT30" s="288">
        <f t="shared" si="38"/>
        <v>0.8796006197586419</v>
      </c>
      <c r="CU30" s="466">
        <v>0</v>
      </c>
      <c r="CV30" s="287">
        <f t="shared" si="39"/>
        <v>-1</v>
      </c>
      <c r="CW30" s="288">
        <f t="shared" si="40"/>
        <v>-1</v>
      </c>
      <c r="CX30" s="466">
        <v>0</v>
      </c>
      <c r="CY30" s="287">
        <f t="shared" si="41"/>
        <v>0</v>
      </c>
      <c r="CZ30" s="288">
        <f t="shared" si="42"/>
        <v>-1</v>
      </c>
    </row>
    <row r="31" spans="1:104" ht="13.2">
      <c r="A31" s="141">
        <f t="shared" si="4"/>
        <v>30</v>
      </c>
      <c r="B31" s="23"/>
      <c r="C31" s="24" t="s">
        <v>131</v>
      </c>
      <c r="D31" s="636" t="s">
        <v>246</v>
      </c>
      <c r="E31" s="486">
        <v>7400</v>
      </c>
      <c r="F31" s="487">
        <v>7400</v>
      </c>
      <c r="G31" s="487">
        <v>2600</v>
      </c>
      <c r="H31" s="487">
        <v>5841.3627999999999</v>
      </c>
      <c r="I31" s="496">
        <v>5841.3627999999999</v>
      </c>
      <c r="J31" s="287">
        <f t="shared" si="5"/>
        <v>0</v>
      </c>
      <c r="K31" s="288">
        <f t="shared" si="6"/>
        <v>-0.21062664864864866</v>
      </c>
      <c r="L31" s="134">
        <v>2600</v>
      </c>
      <c r="M31" s="287">
        <f t="shared" si="7"/>
        <v>-0.55489838775294009</v>
      </c>
      <c r="N31" s="288">
        <f t="shared" si="8"/>
        <v>-0.64864864864864868</v>
      </c>
      <c r="O31" s="134">
        <v>10200</v>
      </c>
      <c r="P31" s="287">
        <f t="shared" si="9"/>
        <v>2.9230769230769229</v>
      </c>
      <c r="Q31" s="288">
        <f t="shared" si="10"/>
        <v>2.9230769230769229</v>
      </c>
      <c r="R31" s="134">
        <v>9600</v>
      </c>
      <c r="S31" s="287">
        <f t="shared" si="11"/>
        <v>-5.8823529411764719E-2</v>
      </c>
      <c r="T31" s="289">
        <f t="shared" si="12"/>
        <v>0.64345210675837494</v>
      </c>
      <c r="U31" s="496">
        <v>9000</v>
      </c>
      <c r="V31" s="287">
        <f t="shared" ref="V31:V37" si="131">(IFERROR(U31/R31-1,0))</f>
        <v>-6.25E-2</v>
      </c>
      <c r="W31" s="288">
        <f t="shared" si="13"/>
        <v>0.54073635008597654</v>
      </c>
      <c r="X31" s="134">
        <v>8400</v>
      </c>
      <c r="Y31" s="287">
        <f t="shared" ref="Y31:Y37" si="132">(IFERROR(X31/U31-1,0))</f>
        <v>-6.6666666666666652E-2</v>
      </c>
      <c r="Z31" s="288">
        <f t="shared" si="14"/>
        <v>2.2307692307692308</v>
      </c>
      <c r="AA31" s="134">
        <v>0</v>
      </c>
      <c r="AB31" s="287">
        <f t="shared" ref="AB31:AB37" si="133">(IFERROR(AA31/X31-1,0))</f>
        <v>-1</v>
      </c>
      <c r="AC31" s="288">
        <f t="shared" si="15"/>
        <v>-1</v>
      </c>
      <c r="AD31" s="134">
        <v>0</v>
      </c>
      <c r="AE31" s="287">
        <f t="shared" ref="AE31:AE37" si="134">(IFERROR(AD31/AA31-1,0))</f>
        <v>0</v>
      </c>
      <c r="AF31" s="289">
        <f t="shared" si="16"/>
        <v>-1</v>
      </c>
      <c r="AG31" s="496">
        <v>0</v>
      </c>
      <c r="AH31" s="287">
        <f t="shared" ref="AH31:AH37" si="135">(IFERROR(AG31/AD31-1,0))</f>
        <v>0</v>
      </c>
      <c r="AI31" s="288">
        <f t="shared" si="17"/>
        <v>-1</v>
      </c>
      <c r="AJ31" s="134">
        <v>0</v>
      </c>
      <c r="AK31" s="287">
        <f t="shared" ref="AK31:AK37" si="136">(IFERROR(AJ31/AG31-1,0))</f>
        <v>0</v>
      </c>
      <c r="AL31" s="288">
        <f t="shared" si="18"/>
        <v>-1</v>
      </c>
      <c r="AM31" s="134">
        <v>0</v>
      </c>
      <c r="AN31" s="287">
        <f t="shared" ref="AN31:AN37" si="137">(IFERROR(AM31/AJ31-1,0))</f>
        <v>0</v>
      </c>
      <c r="AO31" s="288">
        <f t="shared" si="19"/>
        <v>0</v>
      </c>
      <c r="AP31" s="134">
        <v>0</v>
      </c>
      <c r="AQ31" s="287">
        <f t="shared" ref="AQ31:AQ37" si="138">(IFERROR(AP31/AM31-1,0))</f>
        <v>0</v>
      </c>
      <c r="AR31" s="289">
        <f t="shared" si="20"/>
        <v>0</v>
      </c>
      <c r="AS31" s="496">
        <v>2400</v>
      </c>
      <c r="AT31" s="287">
        <f>(IFERROR(AS31/AP31-1,0))</f>
        <v>0</v>
      </c>
      <c r="AU31" s="288">
        <f t="shared" si="103"/>
        <v>0</v>
      </c>
      <c r="AV31" s="134">
        <v>2400</v>
      </c>
      <c r="AW31" s="287">
        <f>(IFERROR(AV31/AS31-1,0))</f>
        <v>0</v>
      </c>
      <c r="AX31" s="288">
        <f t="shared" si="105"/>
        <v>0</v>
      </c>
      <c r="AY31" s="134">
        <v>2400</v>
      </c>
      <c r="AZ31" s="287">
        <f>(IFERROR(AY31/AV31-1,0))</f>
        <v>0</v>
      </c>
      <c r="BA31" s="288">
        <f t="shared" si="107"/>
        <v>0</v>
      </c>
      <c r="BB31" s="134">
        <v>2400</v>
      </c>
      <c r="BC31" s="287">
        <f>(IFERROR(BB31/AY31-1,0))</f>
        <v>0</v>
      </c>
      <c r="BD31" s="289">
        <f t="shared" si="109"/>
        <v>0</v>
      </c>
      <c r="BE31" s="466">
        <v>2400</v>
      </c>
      <c r="BF31" s="287">
        <f>(IFERROR(BE31/BB31-1,0))</f>
        <v>0</v>
      </c>
      <c r="BG31" s="288">
        <f t="shared" si="0"/>
        <v>0</v>
      </c>
      <c r="BH31" s="467">
        <v>2400</v>
      </c>
      <c r="BI31" s="287">
        <f t="shared" ref="BI31:BI37" si="139">(IFERROR(BH31/BE31-1,0))</f>
        <v>0</v>
      </c>
      <c r="BJ31" s="288">
        <f t="shared" si="1"/>
        <v>0</v>
      </c>
      <c r="BK31" s="467">
        <v>2600</v>
      </c>
      <c r="BL31" s="287">
        <f t="shared" ref="BL31:BL37" si="140">(IFERROR(BK31/BH31-1,0))</f>
        <v>8.3333333333333259E-2</v>
      </c>
      <c r="BM31" s="288">
        <f t="shared" si="2"/>
        <v>8.3333333333333259E-2</v>
      </c>
      <c r="BN31" s="467">
        <v>2400</v>
      </c>
      <c r="BO31" s="287">
        <f t="shared" ref="BO31:BO37" si="141">(IFERROR(BN31/BK31-1,0))</f>
        <v>-7.6923076923076872E-2</v>
      </c>
      <c r="BP31" s="289">
        <f t="shared" si="3"/>
        <v>0</v>
      </c>
      <c r="BQ31" s="466">
        <v>63800</v>
      </c>
      <c r="BR31" s="287">
        <f t="shared" ref="BR31:BR38" si="142">(IFERROR(BQ31/BN31-1,0))</f>
        <v>25.583333333333332</v>
      </c>
      <c r="BS31" s="288">
        <f t="shared" si="25"/>
        <v>25.583333333333332</v>
      </c>
      <c r="BT31" s="467">
        <v>63200</v>
      </c>
      <c r="BU31" s="287">
        <f t="shared" ref="BU31:BU38" si="143">(IFERROR(BT31/BQ31-1,0))</f>
        <v>-9.4043887147335914E-3</v>
      </c>
      <c r="BV31" s="288">
        <f t="shared" si="26"/>
        <v>25.333333333333332</v>
      </c>
      <c r="BW31" s="467">
        <v>62600</v>
      </c>
      <c r="BX31" s="287">
        <f t="shared" ref="BX31:BX38" si="144">(IFERROR(BW31/BT31-1,0))</f>
        <v>-9.493670886076E-3</v>
      </c>
      <c r="BY31" s="288">
        <f t="shared" si="27"/>
        <v>23.076923076923077</v>
      </c>
      <c r="BZ31" s="467">
        <v>76716.824622999993</v>
      </c>
      <c r="CA31" s="287">
        <f t="shared" si="128"/>
        <v>0.22550838055910538</v>
      </c>
      <c r="CB31" s="289">
        <f t="shared" si="28"/>
        <v>30.965343592916664</v>
      </c>
      <c r="CC31" s="466">
        <v>11027</v>
      </c>
      <c r="CD31" s="287">
        <f t="shared" si="129"/>
        <v>-0.8562636024863044</v>
      </c>
      <c r="CE31" s="288">
        <f t="shared" si="29"/>
        <v>-0.82716300940438869</v>
      </c>
      <c r="CF31" s="467">
        <v>863</v>
      </c>
      <c r="CG31" s="287">
        <f t="shared" si="30"/>
        <v>-0.92173755327831686</v>
      </c>
      <c r="CH31" s="288">
        <f t="shared" si="31"/>
        <v>-0.98634493670886081</v>
      </c>
      <c r="CI31" s="467">
        <v>866.23800000000006</v>
      </c>
      <c r="CJ31" s="287">
        <f t="shared" si="32"/>
        <v>3.7520278099651971E-3</v>
      </c>
      <c r="CK31" s="288">
        <f t="shared" si="33"/>
        <v>-0.98616233226837058</v>
      </c>
      <c r="CL31" s="467">
        <v>21324.799999999999</v>
      </c>
      <c r="CM31" s="287">
        <f t="shared" si="34"/>
        <v>23.617714761993813</v>
      </c>
      <c r="CN31" s="288">
        <f t="shared" si="35"/>
        <v>-0.72203229076810949</v>
      </c>
      <c r="CO31" s="466">
        <v>139179.896599</v>
      </c>
      <c r="CP31" s="287">
        <f t="shared" si="130"/>
        <v>5.5266683204062881</v>
      </c>
      <c r="CQ31" s="288">
        <f t="shared" si="68"/>
        <v>11.621737244853541</v>
      </c>
      <c r="CR31" s="466">
        <v>141079.08375699999</v>
      </c>
      <c r="CS31" s="287">
        <f t="shared" si="37"/>
        <v>1.3645556609887866E-2</v>
      </c>
      <c r="CT31" s="288">
        <f t="shared" si="38"/>
        <v>162.4751839594438</v>
      </c>
      <c r="CU31" s="466">
        <v>0</v>
      </c>
      <c r="CV31" s="287">
        <f t="shared" si="39"/>
        <v>-1</v>
      </c>
      <c r="CW31" s="288">
        <f t="shared" si="40"/>
        <v>-1</v>
      </c>
      <c r="CX31" s="466">
        <v>0</v>
      </c>
      <c r="CY31" s="287">
        <f t="shared" si="41"/>
        <v>0</v>
      </c>
      <c r="CZ31" s="288">
        <f t="shared" si="42"/>
        <v>-1</v>
      </c>
    </row>
    <row r="32" spans="1:104" ht="16.2" customHeight="1">
      <c r="A32" s="141">
        <f t="shared" si="4"/>
        <v>31</v>
      </c>
      <c r="B32" s="23"/>
      <c r="C32" s="24" t="s">
        <v>132</v>
      </c>
      <c r="D32" s="636" t="s">
        <v>203</v>
      </c>
      <c r="E32" s="486">
        <v>1394.1501450000001</v>
      </c>
      <c r="F32" s="487">
        <v>1054.9774379999999</v>
      </c>
      <c r="G32" s="487">
        <v>1791.8485579999999</v>
      </c>
      <c r="H32" s="487">
        <v>1869.8462099999999</v>
      </c>
      <c r="I32" s="496">
        <v>2704.3870310000002</v>
      </c>
      <c r="J32" s="287">
        <f t="shared" si="5"/>
        <v>0.44631521915377226</v>
      </c>
      <c r="K32" s="288">
        <f t="shared" si="6"/>
        <v>0.93981045778968086</v>
      </c>
      <c r="L32" s="134">
        <v>3599.0121779999999</v>
      </c>
      <c r="M32" s="287">
        <f t="shared" si="7"/>
        <v>0.33080514613664391</v>
      </c>
      <c r="N32" s="288">
        <f t="shared" si="8"/>
        <v>2.4114589074273645</v>
      </c>
      <c r="O32" s="134">
        <v>5715.8101969999998</v>
      </c>
      <c r="P32" s="287">
        <f t="shared" si="9"/>
        <v>0.58816083811539688</v>
      </c>
      <c r="Q32" s="288">
        <f t="shared" si="10"/>
        <v>2.1898958042412868</v>
      </c>
      <c r="R32" s="134">
        <v>7265.4351360000001</v>
      </c>
      <c r="S32" s="287">
        <f t="shared" si="11"/>
        <v>0.2711120358428516</v>
      </c>
      <c r="T32" s="289">
        <f t="shared" si="12"/>
        <v>2.8855789835250678</v>
      </c>
      <c r="U32" s="496">
        <v>7308.7326359999997</v>
      </c>
      <c r="V32" s="287">
        <f t="shared" si="131"/>
        <v>5.9593815359333391E-3</v>
      </c>
      <c r="W32" s="288">
        <f t="shared" si="13"/>
        <v>1.7025468441539791</v>
      </c>
      <c r="X32" s="134">
        <v>4804.9350219999997</v>
      </c>
      <c r="Y32" s="287">
        <f t="shared" si="132"/>
        <v>-0.34257616726424744</v>
      </c>
      <c r="Z32" s="288">
        <f t="shared" si="14"/>
        <v>0.33507050945021821</v>
      </c>
      <c r="AA32" s="134">
        <v>5560.2833099999998</v>
      </c>
      <c r="AB32" s="287">
        <f t="shared" si="133"/>
        <v>0.15720260202095204</v>
      </c>
      <c r="AC32" s="288">
        <f t="shared" si="15"/>
        <v>-2.7209946033832533E-2</v>
      </c>
      <c r="AD32" s="134">
        <v>4396.4878559999997</v>
      </c>
      <c r="AE32" s="287">
        <f t="shared" si="134"/>
        <v>-0.20930506398962612</v>
      </c>
      <c r="AF32" s="289">
        <f t="shared" si="16"/>
        <v>-0.39487618102657851</v>
      </c>
      <c r="AG32" s="496">
        <v>5354.798616</v>
      </c>
      <c r="AH32" s="287">
        <f t="shared" si="135"/>
        <v>0.21797188833176673</v>
      </c>
      <c r="AI32" s="288">
        <f t="shared" si="17"/>
        <v>-0.26734238578870351</v>
      </c>
      <c r="AJ32" s="134">
        <v>6401.9854539999997</v>
      </c>
      <c r="AK32" s="287">
        <f t="shared" si="136"/>
        <v>0.19556045205342221</v>
      </c>
      <c r="AL32" s="288">
        <f t="shared" si="18"/>
        <v>0.33237711325703745</v>
      </c>
      <c r="AM32" s="134">
        <v>7812.6299799999997</v>
      </c>
      <c r="AN32" s="287">
        <f t="shared" si="137"/>
        <v>0.22034485022433481</v>
      </c>
      <c r="AO32" s="288">
        <f t="shared" si="19"/>
        <v>0.40507768119462972</v>
      </c>
      <c r="AP32" s="134">
        <v>5965.6538119999996</v>
      </c>
      <c r="AQ32" s="287">
        <f t="shared" si="138"/>
        <v>-0.23640901626317645</v>
      </c>
      <c r="AR32" s="289">
        <f t="shared" si="20"/>
        <v>0.35691351992671128</v>
      </c>
      <c r="AS32" s="496">
        <v>7204.8422849999997</v>
      </c>
      <c r="AT32" s="287">
        <f>(IFERROR(AS32/AP32-1,0))</f>
        <v>0.20772047994259313</v>
      </c>
      <c r="AU32" s="288">
        <f t="shared" si="103"/>
        <v>0.34549266959771696</v>
      </c>
      <c r="AV32" s="134">
        <v>7508.609539</v>
      </c>
      <c r="AW32" s="287">
        <f>(IFERROR(AV32/AS32-1,0))</f>
        <v>4.2161541083615806E-2</v>
      </c>
      <c r="AX32" s="288">
        <f t="shared" si="105"/>
        <v>0.17285638852999496</v>
      </c>
      <c r="AY32" s="134">
        <v>6609.5542150000001</v>
      </c>
      <c r="AZ32" s="287">
        <f>(IFERROR(AY32/AV32-1,0))</f>
        <v>-0.11973659295110139</v>
      </c>
      <c r="BA32" s="288">
        <f t="shared" si="107"/>
        <v>-0.15399113590171587</v>
      </c>
      <c r="BB32" s="134">
        <v>18158.545451999998</v>
      </c>
      <c r="BC32" s="287">
        <f>(IFERROR(BB32/AY32-1,0))</f>
        <v>1.7473177254209116</v>
      </c>
      <c r="BD32" s="289">
        <f t="shared" si="109"/>
        <v>2.043848339887544</v>
      </c>
      <c r="BE32" s="466">
        <v>22372.973306</v>
      </c>
      <c r="BF32" s="287">
        <f>(IFERROR(BE32/BB32-1,0))</f>
        <v>0.23209060798070813</v>
      </c>
      <c r="BG32" s="288">
        <f t="shared" si="0"/>
        <v>2.1052689873002546</v>
      </c>
      <c r="BH32" s="467">
        <v>17544.982521999998</v>
      </c>
      <c r="BI32" s="287">
        <f t="shared" si="139"/>
        <v>-0.21579567087335805</v>
      </c>
      <c r="BJ32" s="288">
        <f t="shared" si="1"/>
        <v>1.3366486738817223</v>
      </c>
      <c r="BK32" s="467">
        <v>7499.4958450000004</v>
      </c>
      <c r="BL32" s="287">
        <f t="shared" si="140"/>
        <v>-0.57255609484955405</v>
      </c>
      <c r="BM32" s="288">
        <f t="shared" si="2"/>
        <v>0.13464472807868488</v>
      </c>
      <c r="BN32" s="467">
        <v>10482.475130999999</v>
      </c>
      <c r="BO32" s="287">
        <f t="shared" si="141"/>
        <v>0.39775730897814765</v>
      </c>
      <c r="BP32" s="289">
        <f t="shared" si="3"/>
        <v>-0.42272495565742296</v>
      </c>
      <c r="BQ32" s="466">
        <v>11927.342054000001</v>
      </c>
      <c r="BR32" s="287">
        <f t="shared" si="142"/>
        <v>0.13783642746044511</v>
      </c>
      <c r="BS32" s="288">
        <f t="shared" si="25"/>
        <v>-0.46688614468594936</v>
      </c>
      <c r="BT32" s="467">
        <v>12515.591676</v>
      </c>
      <c r="BU32" s="287">
        <f t="shared" si="143"/>
        <v>4.9319422494697562E-2</v>
      </c>
      <c r="BV32" s="288">
        <f t="shared" si="26"/>
        <v>-0.28665693110229928</v>
      </c>
      <c r="BW32" s="467">
        <v>9333.4811709999994</v>
      </c>
      <c r="BX32" s="287">
        <f t="shared" si="144"/>
        <v>-0.25425170358522009</v>
      </c>
      <c r="BY32" s="288">
        <f t="shared" si="27"/>
        <v>0.2445478154671874</v>
      </c>
      <c r="BZ32" s="467">
        <v>17398.947957</v>
      </c>
      <c r="CA32" s="287">
        <f t="shared" si="128"/>
        <v>0.86414346782636287</v>
      </c>
      <c r="CB32" s="289">
        <f t="shared" si="28"/>
        <v>0.65981294871340079</v>
      </c>
      <c r="CC32" s="466">
        <f>19637-1</f>
        <v>19636</v>
      </c>
      <c r="CD32" s="287">
        <f t="shared" si="129"/>
        <v>0.1285739832390258</v>
      </c>
      <c r="CE32" s="288">
        <f t="shared" si="29"/>
        <v>0.64630140655811852</v>
      </c>
      <c r="CF32" s="467">
        <v>20520</v>
      </c>
      <c r="CG32" s="287">
        <f t="shared" si="30"/>
        <v>4.5019352210226016E-2</v>
      </c>
      <c r="CH32" s="288">
        <f t="shared" si="31"/>
        <v>0.63955492726319263</v>
      </c>
      <c r="CI32" s="467">
        <v>18136.723892000002</v>
      </c>
      <c r="CJ32" s="287">
        <f t="shared" si="32"/>
        <v>-0.11614405984405451</v>
      </c>
      <c r="CK32" s="288">
        <f t="shared" si="33"/>
        <v>0.94318963736194195</v>
      </c>
      <c r="CL32" s="467">
        <v>27521.185000000001</v>
      </c>
      <c r="CM32" s="287">
        <f t="shared" si="34"/>
        <v>0.51742868027777766</v>
      </c>
      <c r="CN32" s="288">
        <f t="shared" si="35"/>
        <v>0.58177293638766181</v>
      </c>
      <c r="CO32" s="466">
        <v>23908.622412000001</v>
      </c>
      <c r="CP32" s="287">
        <f t="shared" si="130"/>
        <v>-0.13126479066944252</v>
      </c>
      <c r="CQ32" s="288">
        <f t="shared" si="68"/>
        <v>0.21759128193114696</v>
      </c>
      <c r="CR32" s="466">
        <v>19499.466496000001</v>
      </c>
      <c r="CS32" s="287">
        <f t="shared" si="37"/>
        <v>-0.18441697894676679</v>
      </c>
      <c r="CT32" s="288">
        <f t="shared" si="38"/>
        <v>-4.9733601559454166E-2</v>
      </c>
      <c r="CU32" s="466">
        <v>0</v>
      </c>
      <c r="CV32" s="287">
        <f t="shared" si="39"/>
        <v>-1</v>
      </c>
      <c r="CW32" s="288">
        <f t="shared" si="40"/>
        <v>-1</v>
      </c>
      <c r="CX32" s="466">
        <v>0</v>
      </c>
      <c r="CY32" s="287">
        <f t="shared" si="41"/>
        <v>0</v>
      </c>
      <c r="CZ32" s="288">
        <f t="shared" si="42"/>
        <v>-1</v>
      </c>
    </row>
    <row r="33" spans="1:106" ht="16.2" customHeight="1">
      <c r="A33" s="141">
        <f t="shared" si="4"/>
        <v>32</v>
      </c>
      <c r="B33" s="23"/>
      <c r="C33" s="24" t="s">
        <v>133</v>
      </c>
      <c r="D33" s="636" t="s">
        <v>204</v>
      </c>
      <c r="E33" s="486">
        <v>794.50230799999997</v>
      </c>
      <c r="F33" s="487">
        <v>355.93366500000002</v>
      </c>
      <c r="G33" s="487">
        <v>396.743942</v>
      </c>
      <c r="H33" s="487">
        <v>612.73799699999995</v>
      </c>
      <c r="I33" s="496">
        <v>1435.978597</v>
      </c>
      <c r="J33" s="287">
        <f t="shared" si="5"/>
        <v>1.3435442293943463</v>
      </c>
      <c r="K33" s="288">
        <f t="shared" si="6"/>
        <v>0.8073938647387795</v>
      </c>
      <c r="L33" s="134">
        <v>655.32862899999998</v>
      </c>
      <c r="M33" s="287">
        <f t="shared" si="7"/>
        <v>-0.54363621409880947</v>
      </c>
      <c r="N33" s="288">
        <f t="shared" si="8"/>
        <v>0.84115382567142105</v>
      </c>
      <c r="O33" s="134">
        <v>706.213662</v>
      </c>
      <c r="P33" s="287">
        <f t="shared" si="9"/>
        <v>7.7648115385479333E-2</v>
      </c>
      <c r="Q33" s="288">
        <f t="shared" si="10"/>
        <v>0.78002380689154927</v>
      </c>
      <c r="R33" s="134">
        <v>801.48676</v>
      </c>
      <c r="S33" s="287">
        <f t="shared" si="11"/>
        <v>0.13490690300466035</v>
      </c>
      <c r="T33" s="289">
        <f t="shared" si="12"/>
        <v>0.3080415510774992</v>
      </c>
      <c r="U33" s="496">
        <v>3552.3011649999999</v>
      </c>
      <c r="V33" s="287">
        <f t="shared" si="131"/>
        <v>3.4321395465097888</v>
      </c>
      <c r="W33" s="288">
        <f t="shared" si="13"/>
        <v>1.4737842001415289</v>
      </c>
      <c r="X33" s="134">
        <v>740.80989499999998</v>
      </c>
      <c r="Y33" s="287">
        <f t="shared" si="132"/>
        <v>-0.79145633757097278</v>
      </c>
      <c r="Z33" s="288">
        <f t="shared" si="14"/>
        <v>0.13044030463073208</v>
      </c>
      <c r="AA33" s="134">
        <v>748.44473800000003</v>
      </c>
      <c r="AB33" s="287">
        <f t="shared" si="133"/>
        <v>1.0306075892790423E-2</v>
      </c>
      <c r="AC33" s="288">
        <f t="shared" si="15"/>
        <v>5.9799290600526467E-2</v>
      </c>
      <c r="AD33" s="134">
        <v>580.43126700000005</v>
      </c>
      <c r="AE33" s="287">
        <f t="shared" si="134"/>
        <v>-0.224483468811561</v>
      </c>
      <c r="AF33" s="289">
        <f t="shared" si="16"/>
        <v>-0.27580679311533474</v>
      </c>
      <c r="AG33" s="496">
        <v>5281.5643069999996</v>
      </c>
      <c r="AH33" s="287">
        <f t="shared" si="135"/>
        <v>8.0993793878440385</v>
      </c>
      <c r="AI33" s="288">
        <f t="shared" si="17"/>
        <v>0.48680082619064757</v>
      </c>
      <c r="AJ33" s="134">
        <v>2502.0994300000002</v>
      </c>
      <c r="AK33" s="287">
        <f t="shared" si="136"/>
        <v>-0.52625788789813543</v>
      </c>
      <c r="AL33" s="288">
        <f t="shared" si="18"/>
        <v>2.3775189112451045</v>
      </c>
      <c r="AM33" s="134">
        <v>3388.427169</v>
      </c>
      <c r="AN33" s="287">
        <f t="shared" si="137"/>
        <v>0.35423362012436077</v>
      </c>
      <c r="AO33" s="288">
        <f t="shared" si="19"/>
        <v>3.5272910569918388</v>
      </c>
      <c r="AP33" s="134">
        <v>980.20801500000005</v>
      </c>
      <c r="AQ33" s="287">
        <f t="shared" si="138"/>
        <v>-0.71071887748755092</v>
      </c>
      <c r="AR33" s="289">
        <f t="shared" si="20"/>
        <v>0.68875811957249367</v>
      </c>
      <c r="AS33" s="496">
        <v>7234.0008200000002</v>
      </c>
      <c r="AT33" s="287">
        <f>(IFERROR(AS33/AP33-1,0))</f>
        <v>6.3800669952693658</v>
      </c>
      <c r="AU33" s="288">
        <f t="shared" si="103"/>
        <v>0.36967012034906199</v>
      </c>
      <c r="AV33" s="134">
        <v>3422.0593669999998</v>
      </c>
      <c r="AW33" s="287">
        <f>(IFERROR(AV33/AS33-1,0))</f>
        <v>-0.52694788787707103</v>
      </c>
      <c r="AX33" s="288">
        <f t="shared" si="105"/>
        <v>0.36767521145232807</v>
      </c>
      <c r="AY33" s="134">
        <v>4351.4222090000003</v>
      </c>
      <c r="AZ33" s="287">
        <f>(IFERROR(AY33/AV33-1,0))</f>
        <v>0.27157998805109584</v>
      </c>
      <c r="BA33" s="288">
        <f t="shared" si="107"/>
        <v>0.28420119187162629</v>
      </c>
      <c r="BB33" s="134">
        <v>5465.274676</v>
      </c>
      <c r="BC33" s="287">
        <f>(IFERROR(BB33/AY33-1,0))</f>
        <v>0.25597434896026194</v>
      </c>
      <c r="BD33" s="289">
        <f t="shared" si="109"/>
        <v>4.5756274100656071</v>
      </c>
      <c r="BE33" s="466">
        <v>10348.39472</v>
      </c>
      <c r="BF33" s="287">
        <f>(IFERROR(BE33/BB33-1,0))</f>
        <v>0.89348117587640163</v>
      </c>
      <c r="BG33" s="288">
        <f t="shared" si="0"/>
        <v>0.4305216404440495</v>
      </c>
      <c r="BH33" s="467">
        <v>4345.2906039999998</v>
      </c>
      <c r="BI33" s="287">
        <f t="shared" si="139"/>
        <v>-0.58010003275174649</v>
      </c>
      <c r="BJ33" s="288">
        <f t="shared" si="1"/>
        <v>0.26978820002452641</v>
      </c>
      <c r="BK33" s="467">
        <v>5651.7439119999999</v>
      </c>
      <c r="BL33" s="287">
        <f t="shared" si="140"/>
        <v>0.30065959381344065</v>
      </c>
      <c r="BM33" s="288">
        <f t="shared" si="2"/>
        <v>0.2988268296076988</v>
      </c>
      <c r="BN33" s="467">
        <v>6794.9653099999996</v>
      </c>
      <c r="BO33" s="287">
        <f t="shared" si="141"/>
        <v>0.20227763603596194</v>
      </c>
      <c r="BP33" s="289">
        <f t="shared" si="3"/>
        <v>0.24329804315950532</v>
      </c>
      <c r="BQ33" s="466">
        <v>16438.418118000001</v>
      </c>
      <c r="BR33" s="287">
        <f t="shared" si="142"/>
        <v>1.4192055982696403</v>
      </c>
      <c r="BS33" s="288">
        <f t="shared" si="25"/>
        <v>0.58849933374014185</v>
      </c>
      <c r="BT33" s="467">
        <v>4787.5869009999997</v>
      </c>
      <c r="BU33" s="287">
        <f t="shared" si="143"/>
        <v>-0.70875622784180115</v>
      </c>
      <c r="BV33" s="288">
        <f t="shared" si="26"/>
        <v>0.101787506822409</v>
      </c>
      <c r="BW33" s="467">
        <v>5619.3813140000002</v>
      </c>
      <c r="BX33" s="530">
        <f t="shared" si="144"/>
        <v>0.17373980466574102</v>
      </c>
      <c r="BY33" s="531">
        <f t="shared" si="27"/>
        <v>-5.726126042492119E-3</v>
      </c>
      <c r="BZ33" s="134">
        <v>0</v>
      </c>
      <c r="CA33" s="532"/>
      <c r="CB33" s="533"/>
      <c r="CC33" s="496">
        <v>0</v>
      </c>
      <c r="CD33" s="287">
        <f t="shared" si="129"/>
        <v>0</v>
      </c>
      <c r="CE33" s="288">
        <f t="shared" ref="CE33" si="145">IFERROR(CC33/BQ33-1,)</f>
        <v>-1</v>
      </c>
      <c r="CF33" s="134">
        <v>0</v>
      </c>
      <c r="CG33" s="287">
        <f t="shared" si="30"/>
        <v>0</v>
      </c>
      <c r="CH33" s="288">
        <f t="shared" si="31"/>
        <v>-1</v>
      </c>
      <c r="CI33" s="134">
        <v>0</v>
      </c>
      <c r="CJ33" s="287">
        <f t="shared" si="32"/>
        <v>0</v>
      </c>
      <c r="CK33" s="288">
        <f t="shared" si="33"/>
        <v>-1</v>
      </c>
      <c r="CL33" s="134">
        <v>0</v>
      </c>
      <c r="CM33" s="287">
        <f t="shared" si="34"/>
        <v>0</v>
      </c>
      <c r="CN33" s="288">
        <f t="shared" si="35"/>
        <v>0</v>
      </c>
      <c r="CO33" s="496">
        <v>0</v>
      </c>
      <c r="CP33" s="287">
        <f t="shared" ref="CP33" si="146">(IFERROR(CO33/CL33-1,0))</f>
        <v>0</v>
      </c>
      <c r="CQ33" s="288">
        <f t="shared" ref="CQ33" si="147">IFERROR(CO33/CC33-1,)</f>
        <v>0</v>
      </c>
      <c r="CR33" s="496">
        <v>0</v>
      </c>
      <c r="CS33" s="287">
        <f t="shared" si="37"/>
        <v>0</v>
      </c>
      <c r="CT33" s="288">
        <f t="shared" si="38"/>
        <v>0</v>
      </c>
      <c r="CU33" s="496">
        <v>0</v>
      </c>
      <c r="CV33" s="287">
        <f t="shared" si="39"/>
        <v>0</v>
      </c>
      <c r="CW33" s="288">
        <f t="shared" si="40"/>
        <v>0</v>
      </c>
      <c r="CX33" s="496">
        <v>0</v>
      </c>
      <c r="CY33" s="287">
        <f t="shared" si="41"/>
        <v>0</v>
      </c>
      <c r="CZ33" s="288">
        <f t="shared" si="42"/>
        <v>0</v>
      </c>
    </row>
    <row r="34" spans="1:106" ht="16.2" customHeight="1">
      <c r="A34" s="141">
        <f t="shared" si="4"/>
        <v>33</v>
      </c>
      <c r="B34" s="23"/>
      <c r="C34" s="24" t="s">
        <v>134</v>
      </c>
      <c r="D34" s="636" t="s">
        <v>205</v>
      </c>
      <c r="E34" s="486">
        <v>4586.9228590000002</v>
      </c>
      <c r="F34" s="487">
        <v>4574.3305120000005</v>
      </c>
      <c r="G34" s="487">
        <v>4803.7855339999996</v>
      </c>
      <c r="H34" s="487">
        <v>5177.8308429999997</v>
      </c>
      <c r="I34" s="496">
        <v>5539.9536790000002</v>
      </c>
      <c r="J34" s="287">
        <f t="shared" si="5"/>
        <v>6.9937170019673589E-2</v>
      </c>
      <c r="K34" s="288">
        <f t="shared" si="6"/>
        <v>0.20777127701854825</v>
      </c>
      <c r="L34" s="134">
        <v>6173.7079510000003</v>
      </c>
      <c r="M34" s="287">
        <f t="shared" si="7"/>
        <v>0.11439703447383276</v>
      </c>
      <c r="N34" s="288">
        <f t="shared" si="8"/>
        <v>0.34964186230188155</v>
      </c>
      <c r="O34" s="134">
        <v>6572.4792299999999</v>
      </c>
      <c r="P34" s="287">
        <f t="shared" si="9"/>
        <v>6.4591859894410408E-2</v>
      </c>
      <c r="Q34" s="288">
        <f t="shared" si="10"/>
        <v>0.36818748120240308</v>
      </c>
      <c r="R34" s="134">
        <v>6165.8761329999998</v>
      </c>
      <c r="S34" s="287">
        <f t="shared" si="11"/>
        <v>-6.1864493256070796E-2</v>
      </c>
      <c r="T34" s="289">
        <f t="shared" si="12"/>
        <v>0.19082224196948339</v>
      </c>
      <c r="U34" s="496">
        <v>6210.428629</v>
      </c>
      <c r="V34" s="287">
        <f t="shared" si="131"/>
        <v>7.2256553714327154E-3</v>
      </c>
      <c r="W34" s="288">
        <f t="shared" si="13"/>
        <v>0.12102537112206058</v>
      </c>
      <c r="X34" s="134">
        <v>5870.1221100000002</v>
      </c>
      <c r="Y34" s="287">
        <f t="shared" si="132"/>
        <v>-5.4795979364599123E-2</v>
      </c>
      <c r="Z34" s="288">
        <f t="shared" si="14"/>
        <v>-4.9173988048920592E-2</v>
      </c>
      <c r="AA34" s="134">
        <v>5024.6128820000004</v>
      </c>
      <c r="AB34" s="287">
        <f t="shared" si="133"/>
        <v>-0.1440360544731496</v>
      </c>
      <c r="AC34" s="288">
        <f t="shared" si="15"/>
        <v>-0.23550722548270409</v>
      </c>
      <c r="AD34" s="134">
        <v>6641.2731389999999</v>
      </c>
      <c r="AE34" s="287">
        <f t="shared" si="134"/>
        <v>0.3217482211995808</v>
      </c>
      <c r="AF34" s="289">
        <f t="shared" si="16"/>
        <v>7.7101290351205387E-2</v>
      </c>
      <c r="AG34" s="496">
        <v>5243.6387869999999</v>
      </c>
      <c r="AH34" s="287">
        <f t="shared" si="135"/>
        <v>-0.21044675060758711</v>
      </c>
      <c r="AI34" s="288">
        <f t="shared" si="17"/>
        <v>-0.1556719994310074</v>
      </c>
      <c r="AJ34" s="134">
        <v>5066.5780510000004</v>
      </c>
      <c r="AK34" s="287">
        <f t="shared" si="136"/>
        <v>-3.3766768305812267E-2</v>
      </c>
      <c r="AL34" s="288">
        <f t="shared" si="18"/>
        <v>-0.13688711136538856</v>
      </c>
      <c r="AM34" s="134">
        <v>4838.6872540000004</v>
      </c>
      <c r="AN34" s="287">
        <f t="shared" si="137"/>
        <v>-4.497923346014987E-2</v>
      </c>
      <c r="AO34" s="288">
        <f t="shared" si="19"/>
        <v>-3.7002975625456291E-2</v>
      </c>
      <c r="AP34" s="134">
        <v>6742.8183419999996</v>
      </c>
      <c r="AQ34" s="287">
        <f t="shared" si="138"/>
        <v>0.39352224850364315</v>
      </c>
      <c r="AR34" s="289">
        <f t="shared" si="20"/>
        <v>1.5290020584108888E-2</v>
      </c>
      <c r="AS34" s="496">
        <v>6687.1877240000003</v>
      </c>
      <c r="AT34" s="287">
        <f>(IFERROR(AS34/AP34-1,0))</f>
        <v>-8.250350992475175E-3</v>
      </c>
      <c r="AU34" s="288">
        <f t="shared" si="103"/>
        <v>0.27529526644337876</v>
      </c>
      <c r="AV34" s="134">
        <v>6630.4673160000002</v>
      </c>
      <c r="AW34" s="287">
        <f>(IFERROR(AV34/AS34-1,0))</f>
        <v>-8.4819524052589523E-3</v>
      </c>
      <c r="AX34" s="288">
        <f t="shared" si="105"/>
        <v>0.30866775351291231</v>
      </c>
      <c r="AY34" s="134">
        <v>12630.312449999999</v>
      </c>
      <c r="AZ34" s="287">
        <f>(IFERROR(AY34/AV34-1,0))</f>
        <v>0.90489023594487161</v>
      </c>
      <c r="BA34" s="288">
        <f t="shared" si="107"/>
        <v>1.6102766694745339</v>
      </c>
      <c r="BB34" s="134">
        <v>6293.1827620000004</v>
      </c>
      <c r="BC34" s="287">
        <f>(IFERROR(BB34/AY34-1,0))</f>
        <v>-0.50173974025480261</v>
      </c>
      <c r="BD34" s="289">
        <f t="shared" si="109"/>
        <v>-6.6683626518497019E-2</v>
      </c>
      <c r="BE34" s="466">
        <v>4825.8271089999998</v>
      </c>
      <c r="BF34" s="287">
        <f>(IFERROR(BE34/BB34-1,0))</f>
        <v>-0.23316590483599253</v>
      </c>
      <c r="BG34" s="288">
        <f t="shared" si="0"/>
        <v>-0.27834729512970979</v>
      </c>
      <c r="BH34" s="467">
        <v>4661.5818989999998</v>
      </c>
      <c r="BI34" s="287">
        <f t="shared" si="139"/>
        <v>-3.4034623762979055E-2</v>
      </c>
      <c r="BJ34" s="288">
        <f t="shared" si="1"/>
        <v>-0.29694519604204628</v>
      </c>
      <c r="BK34" s="467">
        <v>5309.1213040000002</v>
      </c>
      <c r="BL34" s="287">
        <f t="shared" si="140"/>
        <v>0.13890979908320622</v>
      </c>
      <c r="BM34" s="288">
        <f t="shared" si="2"/>
        <v>-0.57965241754569574</v>
      </c>
      <c r="BN34" s="467">
        <v>5072.1659609999997</v>
      </c>
      <c r="BO34" s="287">
        <f t="shared" si="141"/>
        <v>-4.4631744017879837E-2</v>
      </c>
      <c r="BP34" s="289">
        <f t="shared" si="3"/>
        <v>-0.19402214224141745</v>
      </c>
      <c r="BQ34" s="466">
        <v>6001.7522090000002</v>
      </c>
      <c r="BR34" s="287">
        <f t="shared" si="142"/>
        <v>0.1832720488934334</v>
      </c>
      <c r="BS34" s="288">
        <f t="shared" si="25"/>
        <v>0.24367327578042342</v>
      </c>
      <c r="BT34" s="467">
        <v>3945.2064560000003</v>
      </c>
      <c r="BU34" s="287">
        <f t="shared" si="143"/>
        <v>-0.34265755755728833</v>
      </c>
      <c r="BV34" s="288">
        <f t="shared" si="26"/>
        <v>-0.15367646831511761</v>
      </c>
      <c r="BW34" s="467">
        <v>4632.2615989999995</v>
      </c>
      <c r="BX34" s="287">
        <f t="shared" si="144"/>
        <v>0.17414935077861471</v>
      </c>
      <c r="BY34" s="288">
        <f t="shared" si="27"/>
        <v>-0.12748996797079037</v>
      </c>
      <c r="BZ34" s="467">
        <v>5529.5277770000002</v>
      </c>
      <c r="CA34" s="287">
        <f t="shared" si="128"/>
        <v>0.19369937531025894</v>
      </c>
      <c r="CB34" s="289">
        <f t="shared" si="28"/>
        <v>9.0170909137568866E-2</v>
      </c>
      <c r="CC34" s="466">
        <v>5479</v>
      </c>
      <c r="CD34" s="287">
        <f t="shared" si="129"/>
        <v>-9.137810503488164E-3</v>
      </c>
      <c r="CE34" s="288">
        <f t="shared" si="29"/>
        <v>-8.7099931952555609E-2</v>
      </c>
      <c r="CF34" s="467">
        <v>4888</v>
      </c>
      <c r="CG34" s="287">
        <f t="shared" si="30"/>
        <v>-0.10786639897791572</v>
      </c>
      <c r="CH34" s="288">
        <f t="shared" si="31"/>
        <v>0.23897191554225716</v>
      </c>
      <c r="CI34" s="467">
        <v>3948.1728079999998</v>
      </c>
      <c r="CJ34" s="287">
        <f t="shared" si="32"/>
        <v>-0.19227233878887073</v>
      </c>
      <c r="CK34" s="288">
        <f t="shared" si="33"/>
        <v>-0.14767922242294762</v>
      </c>
      <c r="CL34" s="467">
        <v>4936.8</v>
      </c>
      <c r="CM34" s="287">
        <f t="shared" si="34"/>
        <v>0.25040119571179642</v>
      </c>
      <c r="CN34" s="288">
        <f t="shared" si="35"/>
        <v>-0.1071932000170871</v>
      </c>
      <c r="CO34" s="466">
        <v>9053.4619070000008</v>
      </c>
      <c r="CP34" s="287">
        <f t="shared" ref="CP34" si="148">(IFERROR(CO34/CL34-1,0))</f>
        <v>0.83387253018149421</v>
      </c>
      <c r="CQ34" s="288">
        <f t="shared" ref="CQ34" si="149">IFERROR(CO34/CC34-1,)</f>
        <v>0.65239312045993803</v>
      </c>
      <c r="CR34" s="466">
        <v>8165.020657</v>
      </c>
      <c r="CS34" s="287">
        <f t="shared" si="37"/>
        <v>-9.8132765026941904E-2</v>
      </c>
      <c r="CT34" s="288">
        <f t="shared" si="38"/>
        <v>0.67042157467266783</v>
      </c>
      <c r="CU34" s="466">
        <v>0</v>
      </c>
      <c r="CV34" s="287">
        <f t="shared" si="39"/>
        <v>-1</v>
      </c>
      <c r="CW34" s="288">
        <f t="shared" si="40"/>
        <v>-1</v>
      </c>
      <c r="CX34" s="466">
        <v>0</v>
      </c>
      <c r="CY34" s="287">
        <f t="shared" si="41"/>
        <v>0</v>
      </c>
      <c r="CZ34" s="288">
        <f t="shared" si="42"/>
        <v>-1</v>
      </c>
    </row>
    <row r="35" spans="1:106" ht="16.2" customHeight="1">
      <c r="A35" s="141">
        <f t="shared" si="4"/>
        <v>34</v>
      </c>
      <c r="B35" s="23"/>
      <c r="C35" s="24" t="s">
        <v>238</v>
      </c>
      <c r="D35" s="636" t="s">
        <v>247</v>
      </c>
      <c r="E35" s="486">
        <v>0</v>
      </c>
      <c r="F35" s="487">
        <v>0</v>
      </c>
      <c r="G35" s="487">
        <v>0</v>
      </c>
      <c r="H35" s="487">
        <v>0</v>
      </c>
      <c r="I35" s="496">
        <v>0</v>
      </c>
      <c r="J35" s="287">
        <v>0</v>
      </c>
      <c r="K35" s="288">
        <v>0</v>
      </c>
      <c r="L35" s="134">
        <v>0</v>
      </c>
      <c r="M35" s="287">
        <v>0</v>
      </c>
      <c r="N35" s="288">
        <v>0</v>
      </c>
      <c r="O35" s="134">
        <v>0</v>
      </c>
      <c r="P35" s="287">
        <v>0</v>
      </c>
      <c r="Q35" s="288">
        <v>0</v>
      </c>
      <c r="R35" s="134">
        <v>0</v>
      </c>
      <c r="S35" s="287">
        <v>0</v>
      </c>
      <c r="T35" s="289">
        <v>0</v>
      </c>
      <c r="U35" s="496">
        <v>0</v>
      </c>
      <c r="V35" s="287">
        <v>0</v>
      </c>
      <c r="W35" s="288">
        <v>0</v>
      </c>
      <c r="X35" s="134">
        <v>0</v>
      </c>
      <c r="Y35" s="287">
        <v>0</v>
      </c>
      <c r="Z35" s="288">
        <v>0</v>
      </c>
      <c r="AA35" s="134">
        <v>0</v>
      </c>
      <c r="AB35" s="287">
        <v>0</v>
      </c>
      <c r="AC35" s="288">
        <v>0</v>
      </c>
      <c r="AD35" s="134">
        <v>0</v>
      </c>
      <c r="AE35" s="287">
        <v>0</v>
      </c>
      <c r="AF35" s="289">
        <v>0</v>
      </c>
      <c r="AG35" s="496">
        <v>0</v>
      </c>
      <c r="AH35" s="287">
        <v>0</v>
      </c>
      <c r="AI35" s="288">
        <v>0</v>
      </c>
      <c r="AJ35" s="134">
        <v>0</v>
      </c>
      <c r="AK35" s="287">
        <v>0</v>
      </c>
      <c r="AL35" s="288">
        <v>0</v>
      </c>
      <c r="AM35" s="134">
        <v>0</v>
      </c>
      <c r="AN35" s="287">
        <v>0</v>
      </c>
      <c r="AO35" s="288">
        <v>0</v>
      </c>
      <c r="AP35" s="134">
        <v>0</v>
      </c>
      <c r="AQ35" s="287">
        <v>0</v>
      </c>
      <c r="AR35" s="289">
        <v>0</v>
      </c>
      <c r="AS35" s="496">
        <v>0</v>
      </c>
      <c r="AT35" s="287">
        <v>0</v>
      </c>
      <c r="AU35" s="288">
        <v>0</v>
      </c>
      <c r="AV35" s="134">
        <v>0</v>
      </c>
      <c r="AW35" s="287">
        <v>0</v>
      </c>
      <c r="AX35" s="288">
        <v>0</v>
      </c>
      <c r="AY35" s="134">
        <v>0</v>
      </c>
      <c r="AZ35" s="287">
        <v>0</v>
      </c>
      <c r="BA35" s="288">
        <v>0</v>
      </c>
      <c r="BB35" s="134">
        <v>0</v>
      </c>
      <c r="BC35" s="287">
        <v>0</v>
      </c>
      <c r="BD35" s="289">
        <v>0</v>
      </c>
      <c r="BE35" s="466">
        <v>0</v>
      </c>
      <c r="BF35" s="287">
        <v>0</v>
      </c>
      <c r="BG35" s="288">
        <v>0</v>
      </c>
      <c r="BH35" s="467">
        <v>0</v>
      </c>
      <c r="BI35" s="287">
        <v>0</v>
      </c>
      <c r="BJ35" s="288">
        <v>0</v>
      </c>
      <c r="BK35" s="467">
        <v>0</v>
      </c>
      <c r="BL35" s="287">
        <v>0</v>
      </c>
      <c r="BM35" s="288">
        <v>0</v>
      </c>
      <c r="BN35" s="467">
        <v>0</v>
      </c>
      <c r="BO35" s="287">
        <v>0</v>
      </c>
      <c r="BP35" s="289">
        <v>0</v>
      </c>
      <c r="BQ35" s="466">
        <v>0</v>
      </c>
      <c r="BR35" s="287">
        <f>(IFERROR(BQ35/BN35-1,0))</f>
        <v>0</v>
      </c>
      <c r="BS35" s="288">
        <f>IFERROR(BQ35/BE35-1,)</f>
        <v>0</v>
      </c>
      <c r="BT35" s="467">
        <v>0</v>
      </c>
      <c r="BU35" s="287">
        <f>(IFERROR(BT35/BQ35-1,0))</f>
        <v>0</v>
      </c>
      <c r="BV35" s="288">
        <f>IFERROR(BT35/BH35-1,)</f>
        <v>0</v>
      </c>
      <c r="BW35" s="467">
        <v>0</v>
      </c>
      <c r="BX35" s="287">
        <f>(IFERROR(BW35/BT35-1,0))</f>
        <v>0</v>
      </c>
      <c r="BY35" s="288">
        <f>IFERROR(BW35/BK35-1,)</f>
        <v>0</v>
      </c>
      <c r="BZ35" s="467">
        <v>2096.5291579999998</v>
      </c>
      <c r="CA35" s="287">
        <f t="shared" si="128"/>
        <v>0</v>
      </c>
      <c r="CB35" s="289">
        <f t="shared" si="28"/>
        <v>0</v>
      </c>
      <c r="CC35" s="466">
        <v>2170</v>
      </c>
      <c r="CD35" s="287">
        <f>(IFERROR(CC35/BZ35-1,0))</f>
        <v>3.5044035385650485E-2</v>
      </c>
      <c r="CE35" s="288">
        <f>IFERROR(CC35/BQ35-1,)</f>
        <v>0</v>
      </c>
      <c r="CF35" s="467">
        <v>2244</v>
      </c>
      <c r="CG35" s="287">
        <f t="shared" si="30"/>
        <v>3.410138248847927E-2</v>
      </c>
      <c r="CH35" s="288">
        <f t="shared" si="31"/>
        <v>0</v>
      </c>
      <c r="CI35" s="467">
        <v>2328.2594309999999</v>
      </c>
      <c r="CJ35" s="287">
        <f t="shared" si="32"/>
        <v>3.7548766042780679E-2</v>
      </c>
      <c r="CK35" s="288">
        <f t="shared" si="33"/>
        <v>0</v>
      </c>
      <c r="CL35" s="467">
        <v>2414.6</v>
      </c>
      <c r="CM35" s="287">
        <f t="shared" si="34"/>
        <v>3.7083740690751155E-2</v>
      </c>
      <c r="CN35" s="288">
        <f t="shared" si="35"/>
        <v>0.15171305430515747</v>
      </c>
      <c r="CO35" s="466">
        <v>0</v>
      </c>
      <c r="CP35" s="287">
        <f>(IFERROR(CO35/CL35-1,0))</f>
        <v>-1</v>
      </c>
      <c r="CQ35" s="288">
        <f>IFERROR(CO35/CC35-1,)</f>
        <v>-1</v>
      </c>
      <c r="CR35" s="466">
        <v>0</v>
      </c>
      <c r="CS35" s="287">
        <f t="shared" si="37"/>
        <v>0</v>
      </c>
      <c r="CT35" s="288">
        <f t="shared" si="38"/>
        <v>-1</v>
      </c>
      <c r="CU35" s="466">
        <v>0</v>
      </c>
      <c r="CV35" s="287">
        <f t="shared" si="39"/>
        <v>0</v>
      </c>
      <c r="CW35" s="288">
        <f t="shared" si="40"/>
        <v>-1</v>
      </c>
      <c r="CX35" s="466">
        <v>0</v>
      </c>
      <c r="CY35" s="287">
        <f t="shared" si="41"/>
        <v>0</v>
      </c>
      <c r="CZ35" s="288">
        <f t="shared" si="42"/>
        <v>-1</v>
      </c>
    </row>
    <row r="36" spans="1:106" ht="16.2" customHeight="1">
      <c r="A36" s="141">
        <f t="shared" si="4"/>
        <v>35</v>
      </c>
      <c r="B36" s="23"/>
      <c r="C36" s="24" t="s">
        <v>234</v>
      </c>
      <c r="D36" s="636" t="s">
        <v>235</v>
      </c>
      <c r="E36" s="486">
        <v>224.157342</v>
      </c>
      <c r="F36" s="487">
        <v>217.26020399999999</v>
      </c>
      <c r="G36" s="487">
        <v>327.59132699999998</v>
      </c>
      <c r="H36" s="487">
        <v>474.14202499999999</v>
      </c>
      <c r="I36" s="496">
        <v>490.10962499999999</v>
      </c>
      <c r="J36" s="287">
        <f t="shared" si="5"/>
        <v>3.3676829215887327E-2</v>
      </c>
      <c r="K36" s="288">
        <f t="shared" si="6"/>
        <v>1.186453589372058</v>
      </c>
      <c r="L36" s="134">
        <v>617.44629199999997</v>
      </c>
      <c r="M36" s="287">
        <f t="shared" si="7"/>
        <v>0.25981262253317294</v>
      </c>
      <c r="N36" s="288">
        <f t="shared" si="8"/>
        <v>1.8419668242601852</v>
      </c>
      <c r="O36" s="134">
        <v>702.56562899999994</v>
      </c>
      <c r="P36" s="287">
        <f t="shared" si="9"/>
        <v>0.13785707048994622</v>
      </c>
      <c r="Q36" s="288">
        <f t="shared" si="10"/>
        <v>1.1446405050888298</v>
      </c>
      <c r="R36" s="134">
        <v>756.12944400000003</v>
      </c>
      <c r="S36" s="287">
        <f t="shared" si="11"/>
        <v>7.624030096126444E-2</v>
      </c>
      <c r="T36" s="289">
        <f t="shared" si="12"/>
        <v>0.59473196665070982</v>
      </c>
      <c r="U36" s="496">
        <v>741.05175799999995</v>
      </c>
      <c r="V36" s="287">
        <f t="shared" si="131"/>
        <v>-1.9940614824146552E-2</v>
      </c>
      <c r="W36" s="288">
        <f t="shared" si="13"/>
        <v>0.51201225236088765</v>
      </c>
      <c r="X36" s="134">
        <v>685.60485200000005</v>
      </c>
      <c r="Y36" s="287">
        <f t="shared" si="132"/>
        <v>-7.4821907378836428E-2</v>
      </c>
      <c r="Z36" s="288">
        <f t="shared" si="14"/>
        <v>0.11038783596743995</v>
      </c>
      <c r="AA36" s="134">
        <v>725.19613600000002</v>
      </c>
      <c r="AB36" s="287">
        <f t="shared" si="133"/>
        <v>5.7746504979518498E-2</v>
      </c>
      <c r="AC36" s="288">
        <f t="shared" si="15"/>
        <v>3.221123559974215E-2</v>
      </c>
      <c r="AD36" s="134">
        <v>775.58098399999994</v>
      </c>
      <c r="AE36" s="287">
        <f t="shared" si="134"/>
        <v>6.9477546140703561E-2</v>
      </c>
      <c r="AF36" s="289">
        <f t="shared" si="16"/>
        <v>2.5725145547962347E-2</v>
      </c>
      <c r="AG36" s="496">
        <v>658.31196</v>
      </c>
      <c r="AH36" s="287">
        <f t="shared" si="135"/>
        <v>-0.15120152043335811</v>
      </c>
      <c r="AI36" s="288">
        <f t="shared" si="17"/>
        <v>-0.11165184767026748</v>
      </c>
      <c r="AJ36" s="134">
        <v>761.50987099999998</v>
      </c>
      <c r="AK36" s="287">
        <f t="shared" si="136"/>
        <v>0.15676140989448228</v>
      </c>
      <c r="AL36" s="288">
        <f t="shared" si="18"/>
        <v>0.11071248807323197</v>
      </c>
      <c r="AM36" s="134">
        <v>790.439212</v>
      </c>
      <c r="AN36" s="287">
        <f t="shared" si="137"/>
        <v>3.7989449778255135E-2</v>
      </c>
      <c r="AO36" s="288">
        <f t="shared" si="19"/>
        <v>8.9966110906029462E-2</v>
      </c>
      <c r="AP36" s="134">
        <v>827.52125100000001</v>
      </c>
      <c r="AQ36" s="287">
        <f t="shared" si="138"/>
        <v>4.6913207792631528E-2</v>
      </c>
      <c r="AR36" s="289">
        <f t="shared" si="20"/>
        <v>6.6969495219083575E-2</v>
      </c>
      <c r="AS36" s="496">
        <v>903.98603200000002</v>
      </c>
      <c r="AT36" s="287">
        <f>(IFERROR(AS36/AP36-1,0))</f>
        <v>9.2402196206559983E-2</v>
      </c>
      <c r="AU36" s="288">
        <f>IFERROR(AS36/AG36-1,)</f>
        <v>0.37318792142254265</v>
      </c>
      <c r="AV36" s="134">
        <v>947.98933099999999</v>
      </c>
      <c r="AW36" s="287">
        <f>(IFERROR(AV36/AS36-1,0))</f>
        <v>4.867696783173292E-2</v>
      </c>
      <c r="AX36" s="288">
        <f>IFERROR(AV36/AJ36-1,)</f>
        <v>0.24488121178930844</v>
      </c>
      <c r="AY36" s="134">
        <v>1080.8322149999999</v>
      </c>
      <c r="AZ36" s="287">
        <f>(IFERROR(AY36/AV36-1,0))</f>
        <v>0.14013120153986192</v>
      </c>
      <c r="BA36" s="288">
        <f>IFERROR(AY36/AM36-1,)</f>
        <v>0.36738182847133327</v>
      </c>
      <c r="BB36" s="134">
        <v>1225.9501250000001</v>
      </c>
      <c r="BC36" s="287">
        <f>(IFERROR(BB36/AY36-1,0))</f>
        <v>0.13426497469822385</v>
      </c>
      <c r="BD36" s="289">
        <f>IFERROR(BB36/AP36-1,)</f>
        <v>0.48147267942488159</v>
      </c>
      <c r="BE36" s="466">
        <v>1102.374401</v>
      </c>
      <c r="BF36" s="287">
        <f>(IFERROR(BE36/BB36-1,0))</f>
        <v>-0.10079996035727801</v>
      </c>
      <c r="BG36" s="288">
        <f t="shared" ref="BG36:BG54" si="150">IFERROR(BE36/AS36-1,)</f>
        <v>0.21945955133961625</v>
      </c>
      <c r="BH36" s="467">
        <v>1214.7489459999999</v>
      </c>
      <c r="BI36" s="287">
        <f t="shared" si="139"/>
        <v>0.10193863799636604</v>
      </c>
      <c r="BJ36" s="288">
        <f t="shared" si="1"/>
        <v>0.28139516582808466</v>
      </c>
      <c r="BK36" s="467">
        <v>1319.069066</v>
      </c>
      <c r="BL36" s="287">
        <f t="shared" si="140"/>
        <v>8.5877925923304455E-2</v>
      </c>
      <c r="BM36" s="288">
        <f t="shared" si="2"/>
        <v>0.22041982806739346</v>
      </c>
      <c r="BN36" s="467">
        <v>1382.8205379999999</v>
      </c>
      <c r="BO36" s="287">
        <f t="shared" si="141"/>
        <v>4.833065503789169E-2</v>
      </c>
      <c r="BP36" s="289">
        <f t="shared" si="3"/>
        <v>0.12795823402685325</v>
      </c>
      <c r="BQ36" s="466">
        <v>1328.6669710000001</v>
      </c>
      <c r="BR36" s="287">
        <f t="shared" si="142"/>
        <v>-3.9161673920697804E-2</v>
      </c>
      <c r="BS36" s="288">
        <f t="shared" si="25"/>
        <v>0.20527741735904126</v>
      </c>
      <c r="BT36" s="467">
        <v>1429.2830039999999</v>
      </c>
      <c r="BU36" s="287">
        <f t="shared" si="143"/>
        <v>7.5727052147817497E-2</v>
      </c>
      <c r="BV36" s="288">
        <f t="shared" si="26"/>
        <v>0.17660773339744873</v>
      </c>
      <c r="BW36" s="467">
        <v>1534.8468270000001</v>
      </c>
      <c r="BX36" s="287">
        <f t="shared" si="144"/>
        <v>7.3857887279544121E-2</v>
      </c>
      <c r="BY36" s="288">
        <f t="shared" si="27"/>
        <v>0.1635833684238639</v>
      </c>
      <c r="BZ36" s="467">
        <v>1994.70796</v>
      </c>
      <c r="CA36" s="287">
        <f t="shared" si="128"/>
        <v>0.29961369754325329</v>
      </c>
      <c r="CB36" s="289">
        <f t="shared" si="28"/>
        <v>0.44249228673229335</v>
      </c>
      <c r="CC36" s="466">
        <v>2051</v>
      </c>
      <c r="CD36" s="287">
        <f>(IFERROR(CC36/BZ36-1,0))</f>
        <v>2.8220692516813362E-2</v>
      </c>
      <c r="CE36" s="288">
        <f t="shared" ref="CE36:CE54" si="151">IFERROR(CC36/BQ36-1,)</f>
        <v>0.54365243117042894</v>
      </c>
      <c r="CF36" s="467">
        <v>1928</v>
      </c>
      <c r="CG36" s="287">
        <f t="shared" si="30"/>
        <v>-5.9970745977571904E-2</v>
      </c>
      <c r="CH36" s="288">
        <f t="shared" si="31"/>
        <v>0.34892809513881273</v>
      </c>
      <c r="CI36" s="467">
        <v>1949.666322</v>
      </c>
      <c r="CJ36" s="287">
        <f t="shared" si="32"/>
        <v>1.1237718879668179E-2</v>
      </c>
      <c r="CK36" s="288">
        <f t="shared" si="33"/>
        <v>0.27026768254836409</v>
      </c>
      <c r="CL36" s="467">
        <v>2050.6</v>
      </c>
      <c r="CM36" s="287">
        <f t="shared" si="34"/>
        <v>5.1769719187876539E-2</v>
      </c>
      <c r="CN36" s="288">
        <f t="shared" si="35"/>
        <v>2.8020161908813845E-2</v>
      </c>
      <c r="CO36" s="466">
        <v>2035.4030419999999</v>
      </c>
      <c r="CP36" s="287">
        <f>(IFERROR(CO36/CL36-1,0))</f>
        <v>-7.4109811762410605E-3</v>
      </c>
      <c r="CQ36" s="288">
        <f t="shared" ref="CQ36:CQ54" si="152">IFERROR(CO36/CC36-1,)</f>
        <v>-7.6045626523647547E-3</v>
      </c>
      <c r="CR36" s="466">
        <v>2839.1450559999998</v>
      </c>
      <c r="CS36" s="287">
        <f t="shared" si="37"/>
        <v>0.39488101246534346</v>
      </c>
      <c r="CT36" s="288">
        <f t="shared" si="38"/>
        <v>0.47258560995850618</v>
      </c>
      <c r="CU36" s="466">
        <v>0</v>
      </c>
      <c r="CV36" s="287">
        <f t="shared" si="39"/>
        <v>-1</v>
      </c>
      <c r="CW36" s="288">
        <f t="shared" si="40"/>
        <v>-1</v>
      </c>
      <c r="CX36" s="466">
        <v>0</v>
      </c>
      <c r="CY36" s="287">
        <f t="shared" si="41"/>
        <v>0</v>
      </c>
      <c r="CZ36" s="288">
        <f t="shared" si="42"/>
        <v>-1</v>
      </c>
    </row>
    <row r="37" spans="1:106" ht="16.2" customHeight="1">
      <c r="A37" s="141">
        <f t="shared" si="4"/>
        <v>36</v>
      </c>
      <c r="B37" s="23"/>
      <c r="C37" s="24" t="s">
        <v>135</v>
      </c>
      <c r="D37" s="636" t="s">
        <v>252</v>
      </c>
      <c r="E37" s="486">
        <v>0</v>
      </c>
      <c r="F37" s="487">
        <v>0</v>
      </c>
      <c r="G37" s="487">
        <v>0</v>
      </c>
      <c r="H37" s="487">
        <v>0</v>
      </c>
      <c r="I37" s="496">
        <v>61.984146000000003</v>
      </c>
      <c r="J37" s="287">
        <f t="shared" si="5"/>
        <v>0</v>
      </c>
      <c r="K37" s="288">
        <f t="shared" si="6"/>
        <v>0</v>
      </c>
      <c r="L37" s="134">
        <v>171.063703</v>
      </c>
      <c r="M37" s="287">
        <f t="shared" si="7"/>
        <v>1.7597976908482371</v>
      </c>
      <c r="N37" s="288">
        <f t="shared" si="8"/>
        <v>0</v>
      </c>
      <c r="O37" s="134">
        <v>141.73281499999999</v>
      </c>
      <c r="P37" s="287">
        <f t="shared" si="9"/>
        <v>-0.17146178578865445</v>
      </c>
      <c r="Q37" s="288">
        <f t="shared" si="10"/>
        <v>0</v>
      </c>
      <c r="R37" s="134">
        <v>192.277872</v>
      </c>
      <c r="S37" s="287">
        <f t="shared" si="11"/>
        <v>0.35662212029020957</v>
      </c>
      <c r="T37" s="289">
        <f t="shared" si="12"/>
        <v>0</v>
      </c>
      <c r="U37" s="496">
        <v>208.44375700000001</v>
      </c>
      <c r="V37" s="287">
        <f t="shared" si="131"/>
        <v>8.4075639239444167E-2</v>
      </c>
      <c r="W37" s="288">
        <f t="shared" si="13"/>
        <v>2.3628559954669699</v>
      </c>
      <c r="X37" s="134">
        <v>175.116311</v>
      </c>
      <c r="Y37" s="287">
        <f t="shared" si="132"/>
        <v>-0.15988699532027728</v>
      </c>
      <c r="Z37" s="288">
        <f t="shared" si="14"/>
        <v>2.3690636464241521E-2</v>
      </c>
      <c r="AA37" s="134">
        <v>193.31239299999999</v>
      </c>
      <c r="AB37" s="287">
        <f t="shared" si="133"/>
        <v>0.10390855024350065</v>
      </c>
      <c r="AC37" s="288">
        <f t="shared" si="15"/>
        <v>0.36392121330547211</v>
      </c>
      <c r="AD37" s="134">
        <v>215.579441</v>
      </c>
      <c r="AE37" s="287">
        <f t="shared" si="134"/>
        <v>0.11518686233427378</v>
      </c>
      <c r="AF37" s="289">
        <f t="shared" si="16"/>
        <v>0.12118695072722674</v>
      </c>
      <c r="AG37" s="496">
        <v>367.02980100000002</v>
      </c>
      <c r="AH37" s="287">
        <f t="shared" si="135"/>
        <v>0.70252691674805856</v>
      </c>
      <c r="AI37" s="288">
        <f t="shared" si="17"/>
        <v>0.76080975646586535</v>
      </c>
      <c r="AJ37" s="134">
        <v>385.862302</v>
      </c>
      <c r="AK37" s="287">
        <f t="shared" si="136"/>
        <v>5.1310550120697185E-2</v>
      </c>
      <c r="AL37" s="288">
        <f t="shared" si="18"/>
        <v>1.2034629429807939</v>
      </c>
      <c r="AM37" s="134">
        <v>412.13727799999998</v>
      </c>
      <c r="AN37" s="287">
        <f t="shared" si="137"/>
        <v>6.809417728503564E-2</v>
      </c>
      <c r="AO37" s="288">
        <f t="shared" si="19"/>
        <v>1.1319754600523724</v>
      </c>
      <c r="AP37" s="134">
        <v>514.15452800000003</v>
      </c>
      <c r="AQ37" s="287">
        <f t="shared" si="138"/>
        <v>0.24753220697497791</v>
      </c>
      <c r="AR37" s="289">
        <f t="shared" si="20"/>
        <v>1.3849886873025152</v>
      </c>
      <c r="AS37" s="496">
        <v>481.78481399999998</v>
      </c>
      <c r="AT37" s="287">
        <f>(IFERROR(AS37/AP37-1,0))</f>
        <v>-6.2957169950276226E-2</v>
      </c>
      <c r="AU37" s="288">
        <f>IFERROR(AS37/AG37-1,)</f>
        <v>0.31265857074096259</v>
      </c>
      <c r="AV37" s="134">
        <v>479.70976100000001</v>
      </c>
      <c r="AW37" s="287">
        <f>(IFERROR(AV37/AS37-1,0))</f>
        <v>-4.3070120512349597E-3</v>
      </c>
      <c r="AX37" s="288">
        <f>IFERROR(AV37/AJ37-1,)</f>
        <v>0.24321489431222032</v>
      </c>
      <c r="AY37" s="134">
        <v>536.50387599999999</v>
      </c>
      <c r="AZ37" s="287">
        <f>(IFERROR(AY37/AV37-1,0))</f>
        <v>0.1183926607655581</v>
      </c>
      <c r="BA37" s="288">
        <f>IFERROR(AY37/AM37-1,)</f>
        <v>0.30176012857541124</v>
      </c>
      <c r="BB37" s="134">
        <v>557.30323999999996</v>
      </c>
      <c r="BC37" s="287">
        <f>(IFERROR(BB37/AY37-1,0))</f>
        <v>3.8768338739830321E-2</v>
      </c>
      <c r="BD37" s="289">
        <f>IFERROR(BB37/AP37-1,)</f>
        <v>8.3921680448567182E-2</v>
      </c>
      <c r="BE37" s="466">
        <v>561.09967800000004</v>
      </c>
      <c r="BF37" s="287">
        <f>(IFERROR(BE37/BB37-1,0))</f>
        <v>6.8121584938212187E-3</v>
      </c>
      <c r="BG37" s="288">
        <f t="shared" si="150"/>
        <v>0.16462715655458582</v>
      </c>
      <c r="BH37" s="467">
        <v>776.724063</v>
      </c>
      <c r="BI37" s="287">
        <f t="shared" si="139"/>
        <v>0.38428891238821916</v>
      </c>
      <c r="BJ37" s="288">
        <f t="shared" si="1"/>
        <v>0.61915417643544668</v>
      </c>
      <c r="BK37" s="467">
        <v>804.78165899999999</v>
      </c>
      <c r="BL37" s="287">
        <f t="shared" si="140"/>
        <v>3.6122990565827129E-2</v>
      </c>
      <c r="BM37" s="288">
        <f t="shared" si="2"/>
        <v>0.50004817299772863</v>
      </c>
      <c r="BN37" s="467">
        <v>739.36938899999996</v>
      </c>
      <c r="BO37" s="287">
        <f t="shared" si="141"/>
        <v>-8.1279523791930819E-2</v>
      </c>
      <c r="BP37" s="289">
        <f t="shared" si="3"/>
        <v>0.32669135209047062</v>
      </c>
      <c r="BQ37" s="466">
        <v>677.20358099999999</v>
      </c>
      <c r="BR37" s="287">
        <f t="shared" si="142"/>
        <v>-8.4079499266367375E-2</v>
      </c>
      <c r="BS37" s="288">
        <f t="shared" si="25"/>
        <v>0.20692206314187178</v>
      </c>
      <c r="BT37" s="467">
        <v>580.89419099999998</v>
      </c>
      <c r="BU37" s="287">
        <f t="shared" si="143"/>
        <v>-0.14221630348998404</v>
      </c>
      <c r="BV37" s="288">
        <f t="shared" si="26"/>
        <v>-0.25212283400057356</v>
      </c>
      <c r="BW37" s="467">
        <v>553.40617299999997</v>
      </c>
      <c r="BX37" s="287">
        <f t="shared" si="144"/>
        <v>-4.7320180552468338E-2</v>
      </c>
      <c r="BY37" s="288">
        <f t="shared" si="27"/>
        <v>-0.31235240414443888</v>
      </c>
      <c r="BZ37" s="467">
        <v>538.59117600000002</v>
      </c>
      <c r="CA37" s="287">
        <f t="shared" si="128"/>
        <v>-2.6770566941254459E-2</v>
      </c>
      <c r="CB37" s="289">
        <f t="shared" si="28"/>
        <v>-0.27155332096119544</v>
      </c>
      <c r="CC37" s="466">
        <v>408</v>
      </c>
      <c r="CD37" s="287">
        <f>(IFERROR(CC37/BZ37-1,0))</f>
        <v>-0.24246809420435067</v>
      </c>
      <c r="CE37" s="288">
        <f t="shared" si="151"/>
        <v>-0.39752238256401062</v>
      </c>
      <c r="CF37" s="467">
        <v>343</v>
      </c>
      <c r="CG37" s="287">
        <f t="shared" si="30"/>
        <v>-0.15931372549019607</v>
      </c>
      <c r="CH37" s="288">
        <f t="shared" si="31"/>
        <v>-0.40953102077070003</v>
      </c>
      <c r="CI37" s="467">
        <v>298.14576299999999</v>
      </c>
      <c r="CJ37" s="287">
        <f t="shared" si="32"/>
        <v>-0.13077037026239069</v>
      </c>
      <c r="CK37" s="288">
        <f t="shared" si="33"/>
        <v>-0.46125327553944717</v>
      </c>
      <c r="CL37" s="467">
        <v>232.4</v>
      </c>
      <c r="CM37" s="287">
        <f t="shared" si="34"/>
        <v>-0.22051550335129189</v>
      </c>
      <c r="CN37" s="288">
        <f t="shared" si="35"/>
        <v>-0.56850388503208604</v>
      </c>
      <c r="CO37" s="466">
        <v>343.95800600000001</v>
      </c>
      <c r="CP37" s="287">
        <f>(IFERROR(CO37/CL37-1,0))</f>
        <v>0.48002584337349408</v>
      </c>
      <c r="CQ37" s="288">
        <f t="shared" si="152"/>
        <v>-0.1569656715686274</v>
      </c>
      <c r="CR37" s="466">
        <v>557.60746800000004</v>
      </c>
      <c r="CS37" s="287">
        <f t="shared" si="37"/>
        <v>0.62114984467028234</v>
      </c>
      <c r="CT37" s="288">
        <f t="shared" si="38"/>
        <v>0.62567774927113717</v>
      </c>
      <c r="CU37" s="466">
        <v>0</v>
      </c>
      <c r="CV37" s="287">
        <f t="shared" si="39"/>
        <v>-1</v>
      </c>
      <c r="CW37" s="288">
        <f t="shared" si="40"/>
        <v>-1</v>
      </c>
      <c r="CX37" s="466">
        <v>0</v>
      </c>
      <c r="CY37" s="287">
        <f t="shared" si="41"/>
        <v>0</v>
      </c>
      <c r="CZ37" s="288">
        <f t="shared" si="42"/>
        <v>-1</v>
      </c>
    </row>
    <row r="38" spans="1:106" ht="16.2" customHeight="1">
      <c r="A38" s="141">
        <f t="shared" si="4"/>
        <v>37</v>
      </c>
      <c r="B38" s="23"/>
      <c r="C38" s="24" t="s">
        <v>242</v>
      </c>
      <c r="D38" s="636" t="s">
        <v>248</v>
      </c>
      <c r="E38" s="486">
        <v>0</v>
      </c>
      <c r="F38" s="487">
        <v>0</v>
      </c>
      <c r="G38" s="487">
        <v>0</v>
      </c>
      <c r="H38" s="487">
        <v>0</v>
      </c>
      <c r="I38" s="496">
        <v>0</v>
      </c>
      <c r="J38" s="287">
        <v>0</v>
      </c>
      <c r="K38" s="288">
        <v>0</v>
      </c>
      <c r="L38" s="134">
        <v>0</v>
      </c>
      <c r="M38" s="287">
        <v>0</v>
      </c>
      <c r="N38" s="288">
        <v>0</v>
      </c>
      <c r="O38" s="134">
        <v>0</v>
      </c>
      <c r="P38" s="287">
        <v>0</v>
      </c>
      <c r="Q38" s="288">
        <v>0</v>
      </c>
      <c r="R38" s="134">
        <v>0</v>
      </c>
      <c r="S38" s="287">
        <v>0</v>
      </c>
      <c r="T38" s="289">
        <v>0</v>
      </c>
      <c r="U38" s="496">
        <v>0</v>
      </c>
      <c r="V38" s="287">
        <v>0</v>
      </c>
      <c r="W38" s="288">
        <v>0</v>
      </c>
      <c r="X38" s="134">
        <v>0</v>
      </c>
      <c r="Y38" s="287">
        <v>0</v>
      </c>
      <c r="Z38" s="288">
        <v>0</v>
      </c>
      <c r="AA38" s="134">
        <v>0</v>
      </c>
      <c r="AB38" s="287">
        <v>0</v>
      </c>
      <c r="AC38" s="288">
        <v>0</v>
      </c>
      <c r="AD38" s="134">
        <v>0</v>
      </c>
      <c r="AE38" s="287">
        <v>0</v>
      </c>
      <c r="AF38" s="289">
        <v>0</v>
      </c>
      <c r="AG38" s="496">
        <v>0</v>
      </c>
      <c r="AH38" s="287">
        <v>0</v>
      </c>
      <c r="AI38" s="288">
        <v>0</v>
      </c>
      <c r="AJ38" s="134">
        <v>0</v>
      </c>
      <c r="AK38" s="287">
        <v>0</v>
      </c>
      <c r="AL38" s="288">
        <v>0</v>
      </c>
      <c r="AM38" s="134">
        <v>0</v>
      </c>
      <c r="AN38" s="287">
        <v>0</v>
      </c>
      <c r="AO38" s="288">
        <v>0</v>
      </c>
      <c r="AP38" s="134">
        <v>0</v>
      </c>
      <c r="AQ38" s="287">
        <v>0</v>
      </c>
      <c r="AR38" s="289">
        <v>0</v>
      </c>
      <c r="AS38" s="496">
        <v>0</v>
      </c>
      <c r="AT38" s="287">
        <v>0</v>
      </c>
      <c r="AU38" s="288">
        <v>0</v>
      </c>
      <c r="AV38" s="134">
        <v>0</v>
      </c>
      <c r="AW38" s="287">
        <v>0</v>
      </c>
      <c r="AX38" s="288">
        <v>0</v>
      </c>
      <c r="AY38" s="134">
        <v>0</v>
      </c>
      <c r="AZ38" s="287">
        <v>0</v>
      </c>
      <c r="BA38" s="288">
        <v>0</v>
      </c>
      <c r="BB38" s="134">
        <v>0</v>
      </c>
      <c r="BC38" s="287">
        <v>0</v>
      </c>
      <c r="BD38" s="289">
        <v>0</v>
      </c>
      <c r="BE38" s="466">
        <v>0</v>
      </c>
      <c r="BF38" s="287">
        <v>0</v>
      </c>
      <c r="BG38" s="288">
        <v>0</v>
      </c>
      <c r="BH38" s="467">
        <v>0</v>
      </c>
      <c r="BI38" s="287">
        <v>0</v>
      </c>
      <c r="BJ38" s="288">
        <v>0</v>
      </c>
      <c r="BK38" s="467">
        <v>0</v>
      </c>
      <c r="BL38" s="287">
        <v>0</v>
      </c>
      <c r="BM38" s="288">
        <v>0</v>
      </c>
      <c r="BN38" s="467">
        <v>0</v>
      </c>
      <c r="BO38" s="287">
        <v>0</v>
      </c>
      <c r="BP38" s="289">
        <v>0</v>
      </c>
      <c r="BQ38" s="466">
        <v>0</v>
      </c>
      <c r="BR38" s="287">
        <f t="shared" si="142"/>
        <v>0</v>
      </c>
      <c r="BS38" s="288">
        <f t="shared" si="25"/>
        <v>0</v>
      </c>
      <c r="BT38" s="467">
        <v>0</v>
      </c>
      <c r="BU38" s="287">
        <f t="shared" si="143"/>
        <v>0</v>
      </c>
      <c r="BV38" s="288">
        <f t="shared" si="26"/>
        <v>0</v>
      </c>
      <c r="BW38" s="467">
        <v>0</v>
      </c>
      <c r="BX38" s="287">
        <f t="shared" si="144"/>
        <v>0</v>
      </c>
      <c r="BY38" s="288">
        <f t="shared" si="27"/>
        <v>0</v>
      </c>
      <c r="BZ38" s="467">
        <v>7.0594409999999996</v>
      </c>
      <c r="CA38" s="287">
        <f t="shared" si="128"/>
        <v>0</v>
      </c>
      <c r="CB38" s="289">
        <f t="shared" si="28"/>
        <v>0</v>
      </c>
      <c r="CC38" s="466">
        <v>7</v>
      </c>
      <c r="CD38" s="287">
        <f>(IFERROR(CC38/BZ38-1,0))</f>
        <v>-8.4200717875536624E-3</v>
      </c>
      <c r="CE38" s="288">
        <f t="shared" si="151"/>
        <v>0</v>
      </c>
      <c r="CF38" s="467">
        <v>1539</v>
      </c>
      <c r="CG38" s="287">
        <f t="shared" si="30"/>
        <v>218.85714285714286</v>
      </c>
      <c r="CH38" s="288">
        <f t="shared" si="31"/>
        <v>0</v>
      </c>
      <c r="CI38" s="467">
        <v>1538.5712450000001</v>
      </c>
      <c r="CJ38" s="287">
        <f t="shared" si="32"/>
        <v>-2.7859324236512162E-4</v>
      </c>
      <c r="CK38" s="288">
        <f t="shared" si="33"/>
        <v>0</v>
      </c>
      <c r="CL38" s="467">
        <v>0</v>
      </c>
      <c r="CM38" s="287">
        <f t="shared" si="34"/>
        <v>-1</v>
      </c>
      <c r="CN38" s="288">
        <f t="shared" si="35"/>
        <v>-1</v>
      </c>
      <c r="CO38" s="466">
        <v>0</v>
      </c>
      <c r="CP38" s="287">
        <f>(IFERROR(CO38/CL38-1,0))</f>
        <v>0</v>
      </c>
      <c r="CQ38" s="288">
        <f t="shared" si="152"/>
        <v>-1</v>
      </c>
      <c r="CR38" s="466">
        <v>0</v>
      </c>
      <c r="CS38" s="287">
        <f t="shared" si="37"/>
        <v>0</v>
      </c>
      <c r="CT38" s="288">
        <f t="shared" si="38"/>
        <v>-1</v>
      </c>
      <c r="CU38" s="466">
        <v>0</v>
      </c>
      <c r="CV38" s="287">
        <f t="shared" si="39"/>
        <v>0</v>
      </c>
      <c r="CW38" s="288">
        <f t="shared" si="40"/>
        <v>-1</v>
      </c>
      <c r="CX38" s="466">
        <v>0</v>
      </c>
      <c r="CY38" s="287">
        <f t="shared" si="41"/>
        <v>0</v>
      </c>
      <c r="CZ38" s="288">
        <f t="shared" si="42"/>
        <v>0</v>
      </c>
    </row>
    <row r="39" spans="1:106" s="22" customFormat="1" ht="16.2" customHeight="1">
      <c r="A39" s="141">
        <f t="shared" si="4"/>
        <v>38</v>
      </c>
      <c r="B39" s="20" t="s">
        <v>25</v>
      </c>
      <c r="C39" s="21"/>
      <c r="D39" s="635" t="s">
        <v>117</v>
      </c>
      <c r="E39" s="484">
        <f>SUM(E40:E44)</f>
        <v>13057.224181</v>
      </c>
      <c r="F39" s="485">
        <f>SUM(F40:F44)</f>
        <v>11008</v>
      </c>
      <c r="G39" s="485">
        <f>SUM(G40:G44)</f>
        <v>10408</v>
      </c>
      <c r="H39" s="485">
        <f>SUM(H40:H44)</f>
        <v>9809.2040130000005</v>
      </c>
      <c r="I39" s="495">
        <f>SUM(I40:I44)</f>
        <v>9435.2388709999996</v>
      </c>
      <c r="J39" s="284">
        <f t="shared" si="5"/>
        <v>-3.8123902969536605E-2</v>
      </c>
      <c r="K39" s="285">
        <f t="shared" si="6"/>
        <v>-0.27739320852516813</v>
      </c>
      <c r="L39" s="135">
        <f>SUM(L40:L44)</f>
        <v>8713.7367269999995</v>
      </c>
      <c r="M39" s="284">
        <f t="shared" si="7"/>
        <v>-7.6468879470301232E-2</v>
      </c>
      <c r="N39" s="285">
        <f t="shared" si="8"/>
        <v>-0.20841781186409891</v>
      </c>
      <c r="O39" s="135">
        <f>SUM(O40:O44)</f>
        <v>240.832652</v>
      </c>
      <c r="P39" s="284">
        <f t="shared" si="9"/>
        <v>-0.97236172499293372</v>
      </c>
      <c r="Q39" s="285">
        <f t="shared" si="10"/>
        <v>-0.97686081360491928</v>
      </c>
      <c r="R39" s="135">
        <f>SUM(R40:R44)</f>
        <v>253.84761699999999</v>
      </c>
      <c r="S39" s="284">
        <f t="shared" si="11"/>
        <v>5.4041530049671049E-2</v>
      </c>
      <c r="T39" s="286">
        <f t="shared" si="12"/>
        <v>-0.97412148665033582</v>
      </c>
      <c r="U39" s="495">
        <f>SUM(U40:U44)</f>
        <v>246.60072300000002</v>
      </c>
      <c r="V39" s="284">
        <f>IFERROR(U39/R39-1,0)</f>
        <v>-2.85482057529024E-2</v>
      </c>
      <c r="W39" s="285">
        <f t="shared" si="13"/>
        <v>-0.97386386011296988</v>
      </c>
      <c r="X39" s="135">
        <f>SUM(X40:X44)</f>
        <v>210.84304700000001</v>
      </c>
      <c r="Y39" s="284">
        <f>IFERROR(X39/U39-1,0)</f>
        <v>-0.1450023161529822</v>
      </c>
      <c r="Z39" s="285">
        <f t="shared" si="14"/>
        <v>-0.9758033718936342</v>
      </c>
      <c r="AA39" s="135">
        <f>SUM(AA40:AA44)</f>
        <v>213.92780500000001</v>
      </c>
      <c r="AB39" s="284">
        <f>IFERROR(AA39/X39-1,0)</f>
        <v>1.4630589169962072E-2</v>
      </c>
      <c r="AC39" s="285">
        <f t="shared" si="15"/>
        <v>-0.11171594373341032</v>
      </c>
      <c r="AD39" s="135">
        <f>SUM(AD40:AD44)</f>
        <v>319.55417399999999</v>
      </c>
      <c r="AE39" s="284">
        <f>IFERROR(AD39/AA39-1,0)</f>
        <v>0.49374773419472051</v>
      </c>
      <c r="AF39" s="286">
        <f t="shared" si="16"/>
        <v>0.2588425204716418</v>
      </c>
      <c r="AG39" s="495">
        <f>SUM(AG40:AG44)</f>
        <v>467.03854899999999</v>
      </c>
      <c r="AH39" s="284">
        <f>IFERROR(AG39/AD39-1,0)</f>
        <v>0.46153168069712014</v>
      </c>
      <c r="AI39" s="285">
        <f t="shared" si="17"/>
        <v>0.89390583822416425</v>
      </c>
      <c r="AJ39" s="135">
        <f>SUM(AJ40:AJ44)</f>
        <v>429.87357500000002</v>
      </c>
      <c r="AK39" s="284">
        <f>IFERROR(AJ39/AG39-1,0)</f>
        <v>-7.9575816770533825E-2</v>
      </c>
      <c r="AL39" s="285">
        <f t="shared" si="18"/>
        <v>1.0388321128749385</v>
      </c>
      <c r="AM39" s="135">
        <f>SUM(AM40:AM44)</f>
        <v>440.860141</v>
      </c>
      <c r="AN39" s="284">
        <f>IFERROR(AM39/AJ39-1,0)</f>
        <v>2.5557667739869672E-2</v>
      </c>
      <c r="AO39" s="285">
        <f t="shared" si="19"/>
        <v>1.060789344330439</v>
      </c>
      <c r="AP39" s="135">
        <f>SUM(AP40:AP44)</f>
        <v>35841.735557</v>
      </c>
      <c r="AQ39" s="284">
        <f>IFERROR(AP39/AM39-1,0)</f>
        <v>80.29956016368466</v>
      </c>
      <c r="AR39" s="286">
        <f t="shared" si="20"/>
        <v>111.16168798032975</v>
      </c>
      <c r="AS39" s="495">
        <f>SUM(AS40:AS44)</f>
        <v>103020.324013</v>
      </c>
      <c r="AT39" s="284">
        <f>IFERROR(AS39/AP39-1,0)</f>
        <v>1.8743118158763332</v>
      </c>
      <c r="AU39" s="285">
        <f t="shared" ref="AU39:AU54" si="153">IFERROR(AS39/AG39-1,)</f>
        <v>219.58205737745217</v>
      </c>
      <c r="AV39" s="135">
        <f>SUM(AV40:AV44)</f>
        <v>102106.32257800001</v>
      </c>
      <c r="AW39" s="284">
        <f>IFERROR(AV39/AS39-1,0)</f>
        <v>-8.8720497023933031E-3</v>
      </c>
      <c r="AX39" s="285">
        <f t="shared" ref="AX39:AX54" si="154">IFERROR(AV39/AJ39-1,)</f>
        <v>236.52639965831816</v>
      </c>
      <c r="AY39" s="135">
        <f>SUM(AY40:AY44)</f>
        <v>101597.887848</v>
      </c>
      <c r="AZ39" s="284">
        <f>IFERROR(AY39/AV39-1,0)</f>
        <v>-4.9794637311671996E-3</v>
      </c>
      <c r="BA39" s="285">
        <f t="shared" ref="BA39:BA54" si="155">IFERROR(AY39/AM39-1,)</f>
        <v>229.45378431705396</v>
      </c>
      <c r="BB39" s="135">
        <f>SUM(BB40:BB44)</f>
        <v>65632.025836999994</v>
      </c>
      <c r="BC39" s="284">
        <f>IFERROR(BB39/AY39-1,0)</f>
        <v>-0.35400206414535229</v>
      </c>
      <c r="BD39" s="286">
        <f t="shared" ref="BD39:BD54" si="156">IFERROR(BB39/AP39-1,)</f>
        <v>0.83116204662086624</v>
      </c>
      <c r="BE39" s="464">
        <f>SUM(BE40:BE44)</f>
        <v>65129.395657000001</v>
      </c>
      <c r="BF39" s="284">
        <f>IFERROR(BE39/BB39-1,0)</f>
        <v>-7.6583066512116993E-3</v>
      </c>
      <c r="BG39" s="285">
        <f t="shared" si="150"/>
        <v>-0.36780051624782883</v>
      </c>
      <c r="BH39" s="465">
        <f>SUM(BH40:BH44)</f>
        <v>64714.066880999999</v>
      </c>
      <c r="BI39" s="284">
        <f>IFERROR(BH39/BE39-1,0)</f>
        <v>-6.3769788098035907E-3</v>
      </c>
      <c r="BJ39" s="285">
        <f t="shared" si="1"/>
        <v>-0.36620901382904769</v>
      </c>
      <c r="BK39" s="465">
        <f>SUM(BK40:BK44)</f>
        <v>63645.798244999998</v>
      </c>
      <c r="BL39" s="284">
        <f>IFERROR(BK39/BH39-1,0)</f>
        <v>-1.6507518187110604E-2</v>
      </c>
      <c r="BM39" s="285">
        <f t="shared" si="2"/>
        <v>-0.37355195473925495</v>
      </c>
      <c r="BN39" s="465">
        <f>SUM(BN40:BN44)</f>
        <v>62696.135452999995</v>
      </c>
      <c r="BO39" s="284">
        <f>IFERROR(BN39/BK39-1,0)</f>
        <v>-1.4921060277134801E-2</v>
      </c>
      <c r="BP39" s="286">
        <f t="shared" si="3"/>
        <v>-4.4732588192407885E-2</v>
      </c>
      <c r="BQ39" s="464">
        <f>SUM(BQ40:BQ44)</f>
        <v>584.69604100000004</v>
      </c>
      <c r="BR39" s="284">
        <f>IFERROR(BQ39/BN39-1,0)</f>
        <v>-0.99067412948540801</v>
      </c>
      <c r="BS39" s="285">
        <f t="shared" si="25"/>
        <v>-0.99102254772822906</v>
      </c>
      <c r="BT39" s="465">
        <f>SUM(BT40:BT44)</f>
        <v>542.88336500000003</v>
      </c>
      <c r="BU39" s="284">
        <f>IFERROR(BT39/BQ39-1,0)</f>
        <v>-7.1511816513223136E-2</v>
      </c>
      <c r="BV39" s="285">
        <f t="shared" si="26"/>
        <v>-0.99161104546252232</v>
      </c>
      <c r="BW39" s="465">
        <f>SUM(BW40:BW44)</f>
        <v>528.95108600000003</v>
      </c>
      <c r="BX39" s="284">
        <f>IFERROR(BW39/BT39-1,0)</f>
        <v>-2.5663484826063843E-2</v>
      </c>
      <c r="BY39" s="285">
        <f t="shared" si="27"/>
        <v>-0.99168914365778182</v>
      </c>
      <c r="BZ39" s="465">
        <f>SUM(BZ40:BZ44)</f>
        <v>26831.242768</v>
      </c>
      <c r="CA39" s="284">
        <f>IFERROR(BZ39/BW39-1,0)</f>
        <v>49.725376085152796</v>
      </c>
      <c r="CB39" s="286">
        <f t="shared" si="28"/>
        <v>-0.57204311598895963</v>
      </c>
      <c r="CC39" s="464">
        <f>SUM(CC40:CC44)</f>
        <v>93780</v>
      </c>
      <c r="CD39" s="284">
        <f>IFERROR(CC39/BZ39-1,0)</f>
        <v>2.495179139143183</v>
      </c>
      <c r="CE39" s="285">
        <f t="shared" si="151"/>
        <v>159.39102956744665</v>
      </c>
      <c r="CF39" s="465">
        <f>SUM(CF40:CF44)</f>
        <v>84717.667870000005</v>
      </c>
      <c r="CG39" s="284">
        <f t="shared" si="30"/>
        <v>-9.6633953188313026E-2</v>
      </c>
      <c r="CH39" s="285">
        <f t="shared" si="31"/>
        <v>155.05132397084961</v>
      </c>
      <c r="CI39" s="465">
        <f>SUM(CI40:CI44)</f>
        <v>91198.810665000012</v>
      </c>
      <c r="CJ39" s="284">
        <f t="shared" si="32"/>
        <v>7.650284713863198E-2</v>
      </c>
      <c r="CK39" s="285">
        <f t="shared" si="33"/>
        <v>171.41445018037075</v>
      </c>
      <c r="CL39" s="465">
        <f>SUM(CL40:CL44)</f>
        <v>72771.41</v>
      </c>
      <c r="CM39" s="284">
        <f t="shared" si="34"/>
        <v>-0.20205746687519044</v>
      </c>
      <c r="CN39" s="285">
        <f t="shared" si="35"/>
        <v>1.7121893171042402</v>
      </c>
      <c r="CO39" s="464">
        <f>SUM(CO40:CO45)</f>
        <v>18214</v>
      </c>
      <c r="CP39" s="284">
        <f>IFERROR(CO39/CL39-1,0)</f>
        <v>-0.7497093982375771</v>
      </c>
      <c r="CQ39" s="285">
        <f t="shared" si="152"/>
        <v>-0.80577948389848575</v>
      </c>
      <c r="CR39" s="464">
        <f>SUM(CR40:CR45)</f>
        <v>20746.588403999998</v>
      </c>
      <c r="CS39" s="284">
        <f t="shared" si="37"/>
        <v>0.13904625035686835</v>
      </c>
      <c r="CT39" s="285">
        <f t="shared" si="38"/>
        <v>-0.75510907080402856</v>
      </c>
      <c r="CU39" s="464">
        <f>SUM(CU40:CU45)</f>
        <v>0</v>
      </c>
      <c r="CV39" s="284">
        <f t="shared" si="39"/>
        <v>-1</v>
      </c>
      <c r="CW39" s="285">
        <f t="shared" si="40"/>
        <v>-1</v>
      </c>
      <c r="CX39" s="464">
        <f>SUM(CX40:CX45)</f>
        <v>0</v>
      </c>
      <c r="CY39" s="284">
        <f t="shared" si="41"/>
        <v>0</v>
      </c>
      <c r="CZ39" s="285">
        <f t="shared" si="42"/>
        <v>-1</v>
      </c>
    </row>
    <row r="40" spans="1:106" ht="16.2" customHeight="1">
      <c r="A40" s="141">
        <f t="shared" si="4"/>
        <v>39</v>
      </c>
      <c r="B40" s="23"/>
      <c r="C40" s="24" t="s">
        <v>136</v>
      </c>
      <c r="D40" s="636" t="s">
        <v>251</v>
      </c>
      <c r="E40" s="486">
        <v>11400</v>
      </c>
      <c r="F40" s="487">
        <v>10800</v>
      </c>
      <c r="G40" s="487">
        <v>10200</v>
      </c>
      <c r="H40" s="487">
        <v>9600</v>
      </c>
      <c r="I40" s="496">
        <v>9000</v>
      </c>
      <c r="J40" s="287">
        <f t="shared" si="5"/>
        <v>-6.25E-2</v>
      </c>
      <c r="K40" s="288">
        <f t="shared" si="6"/>
        <v>-0.21052631578947367</v>
      </c>
      <c r="L40" s="134">
        <v>8400</v>
      </c>
      <c r="M40" s="287">
        <f t="shared" si="7"/>
        <v>-6.6666666666666652E-2</v>
      </c>
      <c r="N40" s="288">
        <f t="shared" si="8"/>
        <v>-0.22222222222222221</v>
      </c>
      <c r="O40" s="134">
        <v>0</v>
      </c>
      <c r="P40" s="287">
        <f t="shared" si="9"/>
        <v>-1</v>
      </c>
      <c r="Q40" s="288">
        <f t="shared" si="10"/>
        <v>-1</v>
      </c>
      <c r="R40" s="134">
        <v>0</v>
      </c>
      <c r="S40" s="287">
        <f t="shared" si="11"/>
        <v>0</v>
      </c>
      <c r="T40" s="289">
        <f t="shared" si="12"/>
        <v>-1</v>
      </c>
      <c r="U40" s="496">
        <v>0</v>
      </c>
      <c r="V40" s="287">
        <f>(IFERROR(U40/R40-1,0))</f>
        <v>0</v>
      </c>
      <c r="W40" s="288">
        <f t="shared" si="13"/>
        <v>-1</v>
      </c>
      <c r="X40" s="134">
        <v>0</v>
      </c>
      <c r="Y40" s="287">
        <f>(IFERROR(X40/U40-1,0))</f>
        <v>0</v>
      </c>
      <c r="Z40" s="288">
        <f t="shared" si="14"/>
        <v>-1</v>
      </c>
      <c r="AA40" s="134">
        <v>0</v>
      </c>
      <c r="AB40" s="287">
        <f>(IFERROR(AA40/X40-1,0))</f>
        <v>0</v>
      </c>
      <c r="AC40" s="288">
        <f t="shared" si="15"/>
        <v>0</v>
      </c>
      <c r="AD40" s="134">
        <v>0</v>
      </c>
      <c r="AE40" s="287">
        <f>(IFERROR(AD40/AA40-1,0))</f>
        <v>0</v>
      </c>
      <c r="AF40" s="289">
        <f t="shared" si="16"/>
        <v>0</v>
      </c>
      <c r="AG40" s="496">
        <v>0</v>
      </c>
      <c r="AH40" s="287">
        <f>(IFERROR(AG40/AD40-1,0))</f>
        <v>0</v>
      </c>
      <c r="AI40" s="288">
        <f t="shared" si="17"/>
        <v>0</v>
      </c>
      <c r="AJ40" s="134">
        <v>0</v>
      </c>
      <c r="AK40" s="287">
        <f>(IFERROR(AJ40/AG40-1,0))</f>
        <v>0</v>
      </c>
      <c r="AL40" s="288">
        <f t="shared" si="18"/>
        <v>0</v>
      </c>
      <c r="AM40" s="134">
        <v>0</v>
      </c>
      <c r="AN40" s="287">
        <f>(IFERROR(AM40/AJ40-1,0))</f>
        <v>0</v>
      </c>
      <c r="AO40" s="288">
        <f t="shared" si="19"/>
        <v>0</v>
      </c>
      <c r="AP40" s="134">
        <v>35000</v>
      </c>
      <c r="AQ40" s="287">
        <f>(IFERROR(AP40/AM40-1,0))</f>
        <v>0</v>
      </c>
      <c r="AR40" s="289">
        <f t="shared" si="20"/>
        <v>0</v>
      </c>
      <c r="AS40" s="496">
        <v>101200</v>
      </c>
      <c r="AT40" s="287">
        <f>(IFERROR(AS40/AP40-1,0))</f>
        <v>1.8914285714285715</v>
      </c>
      <c r="AU40" s="288">
        <f t="shared" si="153"/>
        <v>0</v>
      </c>
      <c r="AV40" s="134">
        <v>100600</v>
      </c>
      <c r="AW40" s="287">
        <f>(IFERROR(AV40/AS40-1,0))</f>
        <v>-5.9288537549406772E-3</v>
      </c>
      <c r="AX40" s="288">
        <f t="shared" si="154"/>
        <v>0</v>
      </c>
      <c r="AY40" s="134">
        <v>100000</v>
      </c>
      <c r="AZ40" s="287">
        <f>(IFERROR(AY40/AV40-1,0))</f>
        <v>-5.9642147117295874E-3</v>
      </c>
      <c r="BA40" s="288">
        <f t="shared" si="155"/>
        <v>0</v>
      </c>
      <c r="BB40" s="134">
        <v>64400</v>
      </c>
      <c r="BC40" s="287">
        <f>(IFERROR(BB40/AY40-1,0))</f>
        <v>-0.35599999999999998</v>
      </c>
      <c r="BD40" s="289">
        <f t="shared" si="156"/>
        <v>0.84000000000000008</v>
      </c>
      <c r="BE40" s="466">
        <v>63800</v>
      </c>
      <c r="BF40" s="287">
        <f>(IFERROR(BE40/BB40-1,0))</f>
        <v>-9.3167701863353658E-3</v>
      </c>
      <c r="BG40" s="288">
        <f t="shared" si="150"/>
        <v>-0.36956521739130432</v>
      </c>
      <c r="BH40" s="467">
        <v>63200</v>
      </c>
      <c r="BI40" s="287">
        <f>(IFERROR(BH40/BE40-1,0))</f>
        <v>-9.4043887147335914E-3</v>
      </c>
      <c r="BJ40" s="288">
        <f t="shared" si="1"/>
        <v>-0.37176938369781309</v>
      </c>
      <c r="BK40" s="467">
        <v>62600</v>
      </c>
      <c r="BL40" s="287">
        <f>(IFERROR(BK40/BH40-1,0))</f>
        <v>-9.493670886076E-3</v>
      </c>
      <c r="BM40" s="288">
        <f t="shared" si="2"/>
        <v>-0.374</v>
      </c>
      <c r="BN40" s="467">
        <v>62000</v>
      </c>
      <c r="BO40" s="287">
        <f>(IFERROR(BN40/BK40-1,0))</f>
        <v>-9.5846645367412275E-3</v>
      </c>
      <c r="BP40" s="289">
        <f t="shared" si="3"/>
        <v>-3.7267080745341574E-2</v>
      </c>
      <c r="BQ40" s="466">
        <v>0</v>
      </c>
      <c r="BR40" s="287">
        <f>(IFERROR(BQ40/BN40-1,0))</f>
        <v>-1</v>
      </c>
      <c r="BS40" s="288">
        <f t="shared" si="25"/>
        <v>-1</v>
      </c>
      <c r="BT40" s="467">
        <v>0</v>
      </c>
      <c r="BU40" s="287">
        <f>(IFERROR(BT40/BQ40-1,0))</f>
        <v>0</v>
      </c>
      <c r="BV40" s="288">
        <f t="shared" si="26"/>
        <v>-1</v>
      </c>
      <c r="BW40" s="467">
        <v>0</v>
      </c>
      <c r="BX40" s="287">
        <f>(IFERROR(BW40/BT40-1,0))</f>
        <v>0</v>
      </c>
      <c r="BY40" s="288">
        <f t="shared" si="27"/>
        <v>-1</v>
      </c>
      <c r="BZ40" s="467">
        <v>11512.1168</v>
      </c>
      <c r="CA40" s="287">
        <f>(IFERROR(BZ40/BW40-1,0))</f>
        <v>0</v>
      </c>
      <c r="CB40" s="289">
        <f t="shared" si="28"/>
        <v>-0.81432069677419361</v>
      </c>
      <c r="CC40" s="466">
        <v>78356</v>
      </c>
      <c r="CD40" s="287">
        <f>(IFERROR(CC40/BZ40-1,0))</f>
        <v>5.8063937641772361</v>
      </c>
      <c r="CE40" s="288">
        <f t="shared" si="151"/>
        <v>0</v>
      </c>
      <c r="CF40" s="467">
        <v>78280.675199999998</v>
      </c>
      <c r="CG40" s="287">
        <f t="shared" si="30"/>
        <v>-9.6131502373786315E-4</v>
      </c>
      <c r="CH40" s="288">
        <f t="shared" si="31"/>
        <v>0</v>
      </c>
      <c r="CI40" s="467">
        <v>83324.233600000007</v>
      </c>
      <c r="CJ40" s="287">
        <f t="shared" si="32"/>
        <v>6.4429163227248232E-2</v>
      </c>
      <c r="CK40" s="288">
        <f t="shared" si="33"/>
        <v>0</v>
      </c>
      <c r="CL40" s="467">
        <v>62775</v>
      </c>
      <c r="CM40" s="287">
        <f t="shared" si="34"/>
        <v>-0.2466177330672743</v>
      </c>
      <c r="CN40" s="288">
        <f t="shared" si="35"/>
        <v>4.4529502341393901</v>
      </c>
      <c r="CO40" s="466">
        <v>1159</v>
      </c>
      <c r="CP40" s="287">
        <f t="shared" ref="CP40:CP45" si="157">(IFERROR(CO40/CL40-1,0))</f>
        <v>-0.98153723616089206</v>
      </c>
      <c r="CQ40" s="288">
        <f t="shared" si="152"/>
        <v>-0.98520853540252185</v>
      </c>
      <c r="CR40" s="466">
        <v>5580.8446290000002</v>
      </c>
      <c r="CS40" s="287">
        <f t="shared" si="37"/>
        <v>3.8152240112165661</v>
      </c>
      <c r="CT40" s="288">
        <f t="shared" si="38"/>
        <v>-0.92870724971723284</v>
      </c>
      <c r="CU40" s="466">
        <v>0</v>
      </c>
      <c r="CV40" s="287">
        <f t="shared" si="39"/>
        <v>-1</v>
      </c>
      <c r="CW40" s="288">
        <f t="shared" si="40"/>
        <v>-1</v>
      </c>
      <c r="CX40" s="466">
        <v>0</v>
      </c>
      <c r="CY40" s="287">
        <f t="shared" si="41"/>
        <v>0</v>
      </c>
      <c r="CZ40" s="288">
        <f t="shared" si="42"/>
        <v>-1</v>
      </c>
    </row>
    <row r="41" spans="1:106" ht="16.2" customHeight="1">
      <c r="A41" s="141">
        <f t="shared" si="4"/>
        <v>40</v>
      </c>
      <c r="B41" s="23"/>
      <c r="C41" s="24" t="s">
        <v>137</v>
      </c>
      <c r="D41" s="636" t="s">
        <v>206</v>
      </c>
      <c r="E41" s="486">
        <v>188</v>
      </c>
      <c r="F41" s="487">
        <v>208</v>
      </c>
      <c r="G41" s="487">
        <v>208</v>
      </c>
      <c r="H41" s="487">
        <v>208</v>
      </c>
      <c r="I41" s="496">
        <v>208</v>
      </c>
      <c r="J41" s="287">
        <f t="shared" si="5"/>
        <v>0</v>
      </c>
      <c r="K41" s="288">
        <f t="shared" si="6"/>
        <v>0.1063829787234043</v>
      </c>
      <c r="L41" s="134">
        <v>228</v>
      </c>
      <c r="M41" s="287">
        <f t="shared" si="7"/>
        <v>9.6153846153846256E-2</v>
      </c>
      <c r="N41" s="288">
        <f t="shared" si="8"/>
        <v>9.6153846153846256E-2</v>
      </c>
      <c r="O41" s="134">
        <v>168</v>
      </c>
      <c r="P41" s="287">
        <f t="shared" si="9"/>
        <v>-0.26315789473684215</v>
      </c>
      <c r="Q41" s="288">
        <f t="shared" si="10"/>
        <v>-0.19230769230769229</v>
      </c>
      <c r="R41" s="134">
        <v>148</v>
      </c>
      <c r="S41" s="287">
        <f t="shared" si="11"/>
        <v>-0.11904761904761907</v>
      </c>
      <c r="T41" s="289">
        <f t="shared" si="12"/>
        <v>-0.28846153846153844</v>
      </c>
      <c r="U41" s="496">
        <v>148</v>
      </c>
      <c r="V41" s="287">
        <f>(IFERROR(U41/R41-1,0))</f>
        <v>0</v>
      </c>
      <c r="W41" s="288">
        <f t="shared" si="13"/>
        <v>-0.28846153846153844</v>
      </c>
      <c r="X41" s="134">
        <v>148</v>
      </c>
      <c r="Y41" s="287">
        <f>(IFERROR(X41/U41-1,0))</f>
        <v>0</v>
      </c>
      <c r="Z41" s="288">
        <f t="shared" si="14"/>
        <v>-0.35087719298245612</v>
      </c>
      <c r="AA41" s="134">
        <v>148</v>
      </c>
      <c r="AB41" s="287">
        <f>(IFERROR(AA41/X41-1,0))</f>
        <v>0</v>
      </c>
      <c r="AC41" s="288">
        <f t="shared" si="15"/>
        <v>-0.11904761904761907</v>
      </c>
      <c r="AD41" s="134">
        <v>148</v>
      </c>
      <c r="AE41" s="287">
        <f>(IFERROR(AD41/AA41-1,0))</f>
        <v>0</v>
      </c>
      <c r="AF41" s="289">
        <f t="shared" si="16"/>
        <v>0</v>
      </c>
      <c r="AG41" s="496">
        <v>148</v>
      </c>
      <c r="AH41" s="287">
        <f>(IFERROR(AG41/AD41-1,0))</f>
        <v>0</v>
      </c>
      <c r="AI41" s="288">
        <f t="shared" si="17"/>
        <v>0</v>
      </c>
      <c r="AJ41" s="134">
        <v>148</v>
      </c>
      <c r="AK41" s="287">
        <f>(IFERROR(AJ41/AG41-1,0))</f>
        <v>0</v>
      </c>
      <c r="AL41" s="288">
        <f t="shared" si="18"/>
        <v>0</v>
      </c>
      <c r="AM41" s="134">
        <v>178</v>
      </c>
      <c r="AN41" s="287">
        <f>(IFERROR(AM41/AJ41-1,0))</f>
        <v>0.20270270270270263</v>
      </c>
      <c r="AO41" s="288">
        <f t="shared" si="19"/>
        <v>0.20270270270270263</v>
      </c>
      <c r="AP41" s="134">
        <v>178</v>
      </c>
      <c r="AQ41" s="287">
        <f>(IFERROR(AP41/AM41-1,0))</f>
        <v>0</v>
      </c>
      <c r="AR41" s="289">
        <f t="shared" si="20"/>
        <v>0.20270270270270263</v>
      </c>
      <c r="AS41" s="496">
        <v>1253.3613</v>
      </c>
      <c r="AT41" s="287">
        <f>(IFERROR(AS41/AP41-1,0))</f>
        <v>6.0413556179775281</v>
      </c>
      <c r="AU41" s="288">
        <f t="shared" si="153"/>
        <v>7.4686574324324333</v>
      </c>
      <c r="AV41" s="134">
        <v>853.13400000000001</v>
      </c>
      <c r="AW41" s="287">
        <f>(IFERROR(AV41/AS41-1,0))</f>
        <v>-0.31932316723039078</v>
      </c>
      <c r="AX41" s="288">
        <f t="shared" si="154"/>
        <v>4.7644189189189188</v>
      </c>
      <c r="AY41" s="134">
        <v>745.71199999999999</v>
      </c>
      <c r="AZ41" s="287">
        <f>(IFERROR(AY41/AV41-1,0))</f>
        <v>-0.12591456910637722</v>
      </c>
      <c r="BA41" s="288">
        <f t="shared" si="155"/>
        <v>3.189393258426966</v>
      </c>
      <c r="BB41" s="134">
        <v>690.71199999999999</v>
      </c>
      <c r="BC41" s="287">
        <f>(IFERROR(BB41/AY41-1,0))</f>
        <v>-7.3755015341043229E-2</v>
      </c>
      <c r="BD41" s="289">
        <f t="shared" si="156"/>
        <v>2.8804044943820224</v>
      </c>
      <c r="BE41" s="466">
        <v>775.71199999999999</v>
      </c>
      <c r="BF41" s="287">
        <f>(IFERROR(BE41/BB41-1,0))</f>
        <v>0.12306142067895154</v>
      </c>
      <c r="BG41" s="288">
        <f t="shared" si="150"/>
        <v>-0.38109466121221391</v>
      </c>
      <c r="BH41" s="467">
        <v>805.71199999999999</v>
      </c>
      <c r="BI41" s="287">
        <f>(IFERROR(BH41/BE41-1,0))</f>
        <v>3.8674147106142476E-2</v>
      </c>
      <c r="BJ41" s="288">
        <f t="shared" si="1"/>
        <v>-5.5585640708259221E-2</v>
      </c>
      <c r="BK41" s="467">
        <v>422.42200000000003</v>
      </c>
      <c r="BL41" s="287">
        <f>(IFERROR(BK41/BH41-1,0))</f>
        <v>-0.47571588855571223</v>
      </c>
      <c r="BM41" s="288">
        <f t="shared" si="2"/>
        <v>-0.43353198017465189</v>
      </c>
      <c r="BN41" s="467">
        <v>207.422</v>
      </c>
      <c r="BO41" s="287">
        <f>(IFERROR(BN41/BK41-1,0))</f>
        <v>-0.50896970328249957</v>
      </c>
      <c r="BP41" s="289">
        <f t="shared" si="3"/>
        <v>-0.69969828235212361</v>
      </c>
      <c r="BQ41" s="466">
        <v>232.422</v>
      </c>
      <c r="BR41" s="287">
        <f>(IFERROR(BQ41/BN41-1,0))</f>
        <v>0.12052723433387014</v>
      </c>
      <c r="BS41" s="288">
        <f t="shared" si="25"/>
        <v>-0.70037591270987165</v>
      </c>
      <c r="BT41" s="467">
        <v>232.422</v>
      </c>
      <c r="BU41" s="287">
        <f>(IFERROR(BT41/BQ41-1,0))</f>
        <v>0</v>
      </c>
      <c r="BV41" s="288">
        <f t="shared" si="26"/>
        <v>-0.71153216037492306</v>
      </c>
      <c r="BW41" s="467">
        <v>232.422</v>
      </c>
      <c r="BX41" s="287">
        <f>(IFERROR(BW41/BT41-1,0))</f>
        <v>0</v>
      </c>
      <c r="BY41" s="288">
        <f t="shared" si="27"/>
        <v>-0.44978717964499959</v>
      </c>
      <c r="BZ41" s="467">
        <v>125</v>
      </c>
      <c r="CA41" s="287">
        <f>(IFERROR(BZ41/BW41-1,0))</f>
        <v>-0.46218516319453407</v>
      </c>
      <c r="CB41" s="289">
        <f t="shared" si="28"/>
        <v>-0.39736382833064954</v>
      </c>
      <c r="CC41" s="466">
        <v>317</v>
      </c>
      <c r="CD41" s="287">
        <f>(IFERROR(CC41/BZ41-1,0))</f>
        <v>1.536</v>
      </c>
      <c r="CE41" s="288">
        <f t="shared" si="151"/>
        <v>0.36389842613866152</v>
      </c>
      <c r="CF41" s="467">
        <v>100</v>
      </c>
      <c r="CG41" s="287">
        <f t="shared" si="30"/>
        <v>-0.68454258675078861</v>
      </c>
      <c r="CH41" s="288">
        <f t="shared" si="31"/>
        <v>-0.56974813055562734</v>
      </c>
      <c r="CI41" s="467">
        <v>100</v>
      </c>
      <c r="CJ41" s="287">
        <f t="shared" si="32"/>
        <v>0</v>
      </c>
      <c r="CK41" s="288">
        <f t="shared" si="33"/>
        <v>-0.56974813055562734</v>
      </c>
      <c r="CL41" s="467">
        <v>250</v>
      </c>
      <c r="CM41" s="287">
        <f t="shared" si="34"/>
        <v>1.5</v>
      </c>
      <c r="CN41" s="288">
        <f t="shared" si="35"/>
        <v>1</v>
      </c>
      <c r="CO41" s="466">
        <v>1392</v>
      </c>
      <c r="CP41" s="287">
        <f t="shared" si="157"/>
        <v>4.5679999999999996</v>
      </c>
      <c r="CQ41" s="288">
        <f t="shared" si="152"/>
        <v>3.3911671924290223</v>
      </c>
      <c r="CR41" s="466">
        <v>0</v>
      </c>
      <c r="CS41" s="287">
        <f t="shared" si="37"/>
        <v>-1</v>
      </c>
      <c r="CT41" s="288">
        <f t="shared" si="38"/>
        <v>-1</v>
      </c>
      <c r="CU41" s="466">
        <v>0</v>
      </c>
      <c r="CV41" s="287">
        <f t="shared" si="39"/>
        <v>0</v>
      </c>
      <c r="CW41" s="288">
        <f t="shared" si="40"/>
        <v>-1</v>
      </c>
      <c r="CX41" s="466">
        <v>0</v>
      </c>
      <c r="CY41" s="287">
        <f t="shared" si="41"/>
        <v>0</v>
      </c>
      <c r="CZ41" s="288">
        <f t="shared" si="42"/>
        <v>-1</v>
      </c>
    </row>
    <row r="42" spans="1:106" ht="16.2" customHeight="1">
      <c r="A42" s="141">
        <f t="shared" si="4"/>
        <v>41</v>
      </c>
      <c r="B42" s="23"/>
      <c r="C42" s="24" t="s">
        <v>138</v>
      </c>
      <c r="D42" s="636" t="s">
        <v>253</v>
      </c>
      <c r="E42" s="486"/>
      <c r="F42" s="487"/>
      <c r="G42" s="487"/>
      <c r="H42" s="487"/>
      <c r="I42" s="496">
        <v>212.076278</v>
      </c>
      <c r="J42" s="287">
        <f t="shared" si="5"/>
        <v>0</v>
      </c>
      <c r="K42" s="288">
        <f t="shared" si="6"/>
        <v>0</v>
      </c>
      <c r="L42" s="134">
        <v>53.769731</v>
      </c>
      <c r="M42" s="287">
        <f t="shared" si="7"/>
        <v>-0.74646041741641656</v>
      </c>
      <c r="N42" s="288">
        <f t="shared" si="8"/>
        <v>0</v>
      </c>
      <c r="O42" s="134">
        <v>30.651153000000001</v>
      </c>
      <c r="P42" s="287">
        <f t="shared" si="9"/>
        <v>-0.4299552474978906</v>
      </c>
      <c r="Q42" s="288">
        <f t="shared" si="10"/>
        <v>0</v>
      </c>
      <c r="R42" s="134">
        <v>79.135993999999997</v>
      </c>
      <c r="S42" s="287">
        <f t="shared" si="11"/>
        <v>1.5818276395670985</v>
      </c>
      <c r="T42" s="289">
        <f t="shared" si="12"/>
        <v>0</v>
      </c>
      <c r="U42" s="496">
        <v>63.767054999999999</v>
      </c>
      <c r="V42" s="287">
        <f>(IFERROR(U42/R42-1,0))</f>
        <v>-0.19420921155043558</v>
      </c>
      <c r="W42" s="288">
        <f t="shared" si="13"/>
        <v>-0.69932018987998279</v>
      </c>
      <c r="X42" s="134">
        <v>41.014048000000003</v>
      </c>
      <c r="Y42" s="287">
        <f>(IFERROR(X42/U42-1,0))</f>
        <v>-0.35681445536413747</v>
      </c>
      <c r="Z42" s="288">
        <f t="shared" si="14"/>
        <v>-0.23722794893654942</v>
      </c>
      <c r="AA42" s="134">
        <v>65.927805000000006</v>
      </c>
      <c r="AB42" s="287">
        <f>(IFERROR(AA42/X42-1,0))</f>
        <v>0.60744447853574468</v>
      </c>
      <c r="AC42" s="288">
        <f t="shared" si="15"/>
        <v>1.1509078304493148</v>
      </c>
      <c r="AD42" s="134">
        <v>171.55417399999999</v>
      </c>
      <c r="AE42" s="287">
        <f>(IFERROR(AD42/AA42-1,0))</f>
        <v>1.6021520661881579</v>
      </c>
      <c r="AF42" s="289">
        <f t="shared" si="16"/>
        <v>1.1678400096926818</v>
      </c>
      <c r="AG42" s="496">
        <v>319.03854899999999</v>
      </c>
      <c r="AH42" s="287">
        <f>(IFERROR(AG42/AD42-1,0))</f>
        <v>0.85969563760075007</v>
      </c>
      <c r="AI42" s="288">
        <f t="shared" si="17"/>
        <v>4.0031877589454306</v>
      </c>
      <c r="AJ42" s="134">
        <v>281.87357500000002</v>
      </c>
      <c r="AK42" s="287">
        <f>(IFERROR(AJ42/AG42-1,0))</f>
        <v>-0.11649054359258626</v>
      </c>
      <c r="AL42" s="288">
        <f t="shared" si="18"/>
        <v>5.8726104528867769</v>
      </c>
      <c r="AM42" s="134">
        <v>262.860141</v>
      </c>
      <c r="AN42" s="287">
        <f>(IFERROR(AM42/AJ42-1,0))</f>
        <v>-6.7453765398193255E-2</v>
      </c>
      <c r="AO42" s="288">
        <f t="shared" si="19"/>
        <v>2.9870907426691966</v>
      </c>
      <c r="AP42" s="134">
        <v>291.45045699999997</v>
      </c>
      <c r="AQ42" s="287">
        <f>(IFERROR(AP42/AM42-1,0))</f>
        <v>0.10876626593607419</v>
      </c>
      <c r="AR42" s="289">
        <f t="shared" si="20"/>
        <v>0.69888292546003572</v>
      </c>
      <c r="AS42" s="496">
        <v>191.29386099999999</v>
      </c>
      <c r="AT42" s="287">
        <f>(IFERROR(AS42/AP42-1,0))</f>
        <v>-0.34364878693602452</v>
      </c>
      <c r="AU42" s="288">
        <f t="shared" si="153"/>
        <v>-0.40040518113063506</v>
      </c>
      <c r="AV42" s="134">
        <v>270.784988</v>
      </c>
      <c r="AW42" s="287">
        <f>(IFERROR(AV42/AS42-1,0))</f>
        <v>0.41554457934225097</v>
      </c>
      <c r="AX42" s="288">
        <f t="shared" si="154"/>
        <v>-3.9338866724204391E-2</v>
      </c>
      <c r="AY42" s="134">
        <v>457.16446100000002</v>
      </c>
      <c r="AZ42" s="287">
        <f>(IFERROR(AY42/AV42-1,0))</f>
        <v>0.68829322621090072</v>
      </c>
      <c r="BA42" s="288">
        <f t="shared" si="155"/>
        <v>0.73919278617445472</v>
      </c>
      <c r="BB42" s="134">
        <v>541.31383700000004</v>
      </c>
      <c r="BC42" s="287">
        <f>(IFERROR(BB42/AY42-1,0))</f>
        <v>0.18406806123103259</v>
      </c>
      <c r="BD42" s="289">
        <f t="shared" si="156"/>
        <v>0.85730996126041448</v>
      </c>
      <c r="BE42" s="466">
        <v>553.68365700000004</v>
      </c>
      <c r="BF42" s="287">
        <f>(IFERROR(BE42/BB42-1,0))</f>
        <v>2.2851475714263048E-2</v>
      </c>
      <c r="BG42" s="288">
        <f t="shared" si="150"/>
        <v>1.8944141443200837</v>
      </c>
      <c r="BH42" s="467">
        <v>708.35488099999998</v>
      </c>
      <c r="BI42" s="287">
        <f>(IFERROR(BH42/BE42-1,0))</f>
        <v>0.27934944809107831</v>
      </c>
      <c r="BJ42" s="288">
        <f t="shared" si="1"/>
        <v>1.6159311350007335</v>
      </c>
      <c r="BK42" s="467">
        <v>623.37624500000004</v>
      </c>
      <c r="BL42" s="287">
        <f>(IFERROR(BK42/BH42-1,0))</f>
        <v>-0.11996618965910666</v>
      </c>
      <c r="BM42" s="288">
        <f t="shared" si="2"/>
        <v>0.36357109569809709</v>
      </c>
      <c r="BN42" s="467">
        <v>488.71345300000002</v>
      </c>
      <c r="BO42" s="287">
        <f>(IFERROR(BN42/BK42-1,0))</f>
        <v>-0.21602169328733412</v>
      </c>
      <c r="BP42" s="289">
        <f t="shared" si="3"/>
        <v>-9.7171696721286671E-2</v>
      </c>
      <c r="BQ42" s="466">
        <v>352.27404100000001</v>
      </c>
      <c r="BR42" s="287">
        <f>(IFERROR(BQ42/BN42-1,0))</f>
        <v>-0.27918079840540011</v>
      </c>
      <c r="BS42" s="288">
        <f t="shared" si="25"/>
        <v>-0.36376297810791269</v>
      </c>
      <c r="BT42" s="467">
        <v>310.461365</v>
      </c>
      <c r="BU42" s="287">
        <f>(IFERROR(BT42/BQ42-1,0))</f>
        <v>-0.11869360535708617</v>
      </c>
      <c r="BV42" s="288">
        <f t="shared" si="26"/>
        <v>-0.56171493508774173</v>
      </c>
      <c r="BW42" s="467">
        <v>296.52908600000001</v>
      </c>
      <c r="BX42" s="287">
        <f>(IFERROR(BW42/BT42-1,0))</f>
        <v>-4.4876047620289183E-2</v>
      </c>
      <c r="BY42" s="288">
        <f t="shared" si="27"/>
        <v>-0.52431763581238167</v>
      </c>
      <c r="BZ42" s="467">
        <v>247.87149600000001</v>
      </c>
      <c r="CA42" s="287">
        <f>(IFERROR(BZ42/BW42-1,0))</f>
        <v>-0.16409044608865109</v>
      </c>
      <c r="CB42" s="289">
        <f t="shared" si="28"/>
        <v>-0.49280811797092072</v>
      </c>
      <c r="CC42" s="466">
        <v>161</v>
      </c>
      <c r="CD42" s="287">
        <f>(IFERROR(CC42/BZ42-1,0))</f>
        <v>-0.35046989025313346</v>
      </c>
      <c r="CE42" s="288">
        <f t="shared" si="151"/>
        <v>-0.5429694463351048</v>
      </c>
      <c r="CF42" s="467">
        <v>99.020157999999995</v>
      </c>
      <c r="CG42" s="287">
        <f t="shared" si="30"/>
        <v>-0.38496796273291933</v>
      </c>
      <c r="CH42" s="288">
        <f t="shared" si="31"/>
        <v>-0.68105481337428253</v>
      </c>
      <c r="CI42" s="467">
        <v>70.250800999999996</v>
      </c>
      <c r="CJ42" s="287">
        <f t="shared" si="32"/>
        <v>-0.29054040693411132</v>
      </c>
      <c r="CK42" s="288">
        <f t="shared" si="33"/>
        <v>-0.76308967883170831</v>
      </c>
      <c r="CL42" s="467">
        <v>45</v>
      </c>
      <c r="CM42" s="287">
        <f t="shared" si="34"/>
        <v>-0.3594379087577948</v>
      </c>
      <c r="CN42" s="288">
        <f t="shared" si="35"/>
        <v>-0.81845431715149686</v>
      </c>
      <c r="CO42" s="466">
        <v>0</v>
      </c>
      <c r="CP42" s="287">
        <f t="shared" si="157"/>
        <v>-1</v>
      </c>
      <c r="CQ42" s="288">
        <f t="shared" si="152"/>
        <v>-1</v>
      </c>
      <c r="CR42" s="466">
        <v>1151.0888050000001</v>
      </c>
      <c r="CS42" s="287">
        <f t="shared" si="37"/>
        <v>0</v>
      </c>
      <c r="CT42" s="288">
        <f t="shared" si="38"/>
        <v>10.624792650805507</v>
      </c>
      <c r="CU42" s="466">
        <v>0</v>
      </c>
      <c r="CV42" s="287">
        <f t="shared" si="39"/>
        <v>-1</v>
      </c>
      <c r="CW42" s="288">
        <f t="shared" si="40"/>
        <v>-1</v>
      </c>
      <c r="CX42" s="466">
        <v>0</v>
      </c>
      <c r="CY42" s="287">
        <f t="shared" si="41"/>
        <v>0</v>
      </c>
      <c r="CZ42" s="288">
        <f t="shared" si="42"/>
        <v>-1</v>
      </c>
    </row>
    <row r="43" spans="1:106" ht="16.2" customHeight="1">
      <c r="A43" s="141">
        <f t="shared" si="4"/>
        <v>42</v>
      </c>
      <c r="B43" s="23"/>
      <c r="C43" s="24" t="s">
        <v>243</v>
      </c>
      <c r="D43" s="636" t="s">
        <v>259</v>
      </c>
      <c r="E43" s="486">
        <v>1469.224181</v>
      </c>
      <c r="F43" s="487" t="s">
        <v>113</v>
      </c>
      <c r="G43" s="487" t="s">
        <v>113</v>
      </c>
      <c r="H43" s="487">
        <v>1.204013</v>
      </c>
      <c r="I43" s="496">
        <v>15.162592999999999</v>
      </c>
      <c r="J43" s="287">
        <f t="shared" si="5"/>
        <v>11.593379805699772</v>
      </c>
      <c r="K43" s="288">
        <f t="shared" si="6"/>
        <v>-0.98967986424666665</v>
      </c>
      <c r="L43" s="134">
        <v>31.966996000000002</v>
      </c>
      <c r="M43" s="287">
        <f t="shared" si="7"/>
        <v>1.108280292163748</v>
      </c>
      <c r="N43" s="288">
        <f t="shared" si="8"/>
        <v>0</v>
      </c>
      <c r="O43" s="134">
        <v>42.181499000000002</v>
      </c>
      <c r="P43" s="287">
        <f t="shared" si="9"/>
        <v>0.31953277686774206</v>
      </c>
      <c r="Q43" s="288">
        <f t="shared" si="10"/>
        <v>0</v>
      </c>
      <c r="R43" s="134">
        <v>26.711622999999999</v>
      </c>
      <c r="S43" s="287">
        <f t="shared" si="11"/>
        <v>-0.36674552509383329</v>
      </c>
      <c r="T43" s="289">
        <f t="shared" si="12"/>
        <v>21.185493844335568</v>
      </c>
      <c r="U43" s="496">
        <v>34.833668000000003</v>
      </c>
      <c r="V43" s="287">
        <f>(IFERROR(U43/R43-1,0))</f>
        <v>0.304064077274526</v>
      </c>
      <c r="W43" s="288">
        <f t="shared" si="13"/>
        <v>1.2973424136623599</v>
      </c>
      <c r="X43" s="134">
        <v>21.828999</v>
      </c>
      <c r="Y43" s="287">
        <f>(IFERROR(X43/U43-1,0))</f>
        <v>-0.37333619301877718</v>
      </c>
      <c r="Z43" s="288">
        <f t="shared" si="14"/>
        <v>-0.31713949599768465</v>
      </c>
      <c r="AA43" s="134">
        <v>0</v>
      </c>
      <c r="AB43" s="287">
        <f>(IFERROR(AA43/X43-1,0))</f>
        <v>-1</v>
      </c>
      <c r="AC43" s="288">
        <f t="shared" si="15"/>
        <v>-1</v>
      </c>
      <c r="AD43" s="134">
        <v>0</v>
      </c>
      <c r="AE43" s="287">
        <f>(IFERROR(AD43/AA43-1,0))</f>
        <v>0</v>
      </c>
      <c r="AF43" s="289">
        <f t="shared" si="16"/>
        <v>-1</v>
      </c>
      <c r="AG43" s="496">
        <v>0</v>
      </c>
      <c r="AH43" s="287">
        <f>(IFERROR(AG43/AD43-1,0))</f>
        <v>0</v>
      </c>
      <c r="AI43" s="288">
        <f t="shared" si="17"/>
        <v>-1</v>
      </c>
      <c r="AJ43" s="134">
        <v>0</v>
      </c>
      <c r="AK43" s="287">
        <f>(IFERROR(AJ43/AG43-1,0))</f>
        <v>0</v>
      </c>
      <c r="AL43" s="288">
        <f t="shared" si="18"/>
        <v>-1</v>
      </c>
      <c r="AM43" s="134">
        <v>0</v>
      </c>
      <c r="AN43" s="287">
        <f>(IFERROR(AM43/AJ43-1,0))</f>
        <v>0</v>
      </c>
      <c r="AO43" s="288">
        <f t="shared" si="19"/>
        <v>0</v>
      </c>
      <c r="AP43" s="134">
        <v>0</v>
      </c>
      <c r="AQ43" s="287">
        <f>(IFERROR(AP43/AM43-1,0))</f>
        <v>0</v>
      </c>
      <c r="AR43" s="289">
        <f t="shared" si="20"/>
        <v>0</v>
      </c>
      <c r="AS43" s="496">
        <v>0</v>
      </c>
      <c r="AT43" s="287">
        <f>(IFERROR(AS43/AP43-1,0))</f>
        <v>0</v>
      </c>
      <c r="AU43" s="288">
        <f t="shared" si="153"/>
        <v>0</v>
      </c>
      <c r="AV43" s="134">
        <v>0</v>
      </c>
      <c r="AW43" s="287">
        <f>(IFERROR(AV43/AS43-1,0))</f>
        <v>0</v>
      </c>
      <c r="AX43" s="288">
        <f t="shared" si="154"/>
        <v>0</v>
      </c>
      <c r="AY43" s="134">
        <v>0</v>
      </c>
      <c r="AZ43" s="287">
        <f>(IFERROR(AY43/AV43-1,0))</f>
        <v>0</v>
      </c>
      <c r="BA43" s="288">
        <f t="shared" si="155"/>
        <v>0</v>
      </c>
      <c r="BB43" s="134">
        <v>0</v>
      </c>
      <c r="BC43" s="287">
        <f>(IFERROR(BB43/AY43-1,0))</f>
        <v>0</v>
      </c>
      <c r="BD43" s="289">
        <f t="shared" si="156"/>
        <v>0</v>
      </c>
      <c r="BE43" s="466">
        <v>0</v>
      </c>
      <c r="BF43" s="287">
        <f>(IFERROR(BE43/BB43-1,0))</f>
        <v>0</v>
      </c>
      <c r="BG43" s="288">
        <f t="shared" si="150"/>
        <v>0</v>
      </c>
      <c r="BH43" s="467">
        <v>0</v>
      </c>
      <c r="BI43" s="287">
        <f>(IFERROR(BH43/BE43-1,0))</f>
        <v>0</v>
      </c>
      <c r="BJ43" s="288">
        <f t="shared" si="1"/>
        <v>0</v>
      </c>
      <c r="BK43" s="467">
        <v>0</v>
      </c>
      <c r="BL43" s="287">
        <f>(IFERROR(BK43/BH43-1,0))</f>
        <v>0</v>
      </c>
      <c r="BM43" s="288">
        <f t="shared" si="2"/>
        <v>0</v>
      </c>
      <c r="BN43" s="467">
        <v>0</v>
      </c>
      <c r="BO43" s="287">
        <f>(IFERROR(BN43/BK43-1,0))</f>
        <v>0</v>
      </c>
      <c r="BP43" s="289">
        <f t="shared" si="3"/>
        <v>0</v>
      </c>
      <c r="BQ43" s="466">
        <v>0</v>
      </c>
      <c r="BR43" s="287">
        <f>(IFERROR(BQ43/BN43-1,0))</f>
        <v>0</v>
      </c>
      <c r="BS43" s="288">
        <f t="shared" si="25"/>
        <v>0</v>
      </c>
      <c r="BT43" s="467">
        <v>0</v>
      </c>
      <c r="BU43" s="287">
        <f>(IFERROR(BT43/BQ43-1,0))</f>
        <v>0</v>
      </c>
      <c r="BV43" s="288">
        <f t="shared" si="26"/>
        <v>0</v>
      </c>
      <c r="BW43" s="467">
        <v>0</v>
      </c>
      <c r="BX43" s="287">
        <f>(IFERROR(BW43/BT43-1,0))</f>
        <v>0</v>
      </c>
      <c r="BY43" s="288">
        <f t="shared" si="27"/>
        <v>0</v>
      </c>
      <c r="BZ43" s="467">
        <v>1169.0989179999999</v>
      </c>
      <c r="CA43" s="287">
        <f>(IFERROR(BZ43/BW43-1,0))</f>
        <v>0</v>
      </c>
      <c r="CB43" s="289">
        <f t="shared" si="28"/>
        <v>0</v>
      </c>
      <c r="CC43" s="466">
        <v>1169</v>
      </c>
      <c r="CD43" s="287">
        <f>(IFERROR(CC43/BZ43-1,0))</f>
        <v>-8.4610462362855188E-5</v>
      </c>
      <c r="CE43" s="288">
        <f t="shared" si="151"/>
        <v>0</v>
      </c>
      <c r="CF43" s="467">
        <v>0</v>
      </c>
      <c r="CG43" s="287">
        <f t="shared" si="30"/>
        <v>-1</v>
      </c>
      <c r="CH43" s="288">
        <f t="shared" si="31"/>
        <v>0</v>
      </c>
      <c r="CI43" s="467">
        <v>0</v>
      </c>
      <c r="CJ43" s="287">
        <f t="shared" si="32"/>
        <v>0</v>
      </c>
      <c r="CK43" s="288">
        <f t="shared" si="33"/>
        <v>0</v>
      </c>
      <c r="CL43" s="467">
        <v>0</v>
      </c>
      <c r="CM43" s="287">
        <f t="shared" si="34"/>
        <v>0</v>
      </c>
      <c r="CN43" s="288">
        <f t="shared" si="35"/>
        <v>-1</v>
      </c>
      <c r="CO43" s="466">
        <v>0</v>
      </c>
      <c r="CP43" s="287">
        <f t="shared" si="157"/>
        <v>0</v>
      </c>
      <c r="CQ43" s="288">
        <f t="shared" si="152"/>
        <v>-1</v>
      </c>
      <c r="CR43" s="466">
        <v>0</v>
      </c>
      <c r="CS43" s="287">
        <f t="shared" si="37"/>
        <v>0</v>
      </c>
      <c r="CT43" s="288">
        <f t="shared" si="38"/>
        <v>0</v>
      </c>
      <c r="CU43" s="466">
        <v>0</v>
      </c>
      <c r="CV43" s="287">
        <f t="shared" si="39"/>
        <v>0</v>
      </c>
      <c r="CW43" s="288">
        <f t="shared" si="40"/>
        <v>0</v>
      </c>
      <c r="CX43" s="466">
        <v>0</v>
      </c>
      <c r="CY43" s="287">
        <f t="shared" si="41"/>
        <v>0</v>
      </c>
      <c r="CZ43" s="288">
        <f t="shared" si="42"/>
        <v>0</v>
      </c>
    </row>
    <row r="44" spans="1:106" ht="16.2" customHeight="1">
      <c r="A44" s="141">
        <f t="shared" si="4"/>
        <v>43</v>
      </c>
      <c r="B44" s="23"/>
      <c r="C44" s="24" t="s">
        <v>139</v>
      </c>
      <c r="D44" s="636" t="s">
        <v>207</v>
      </c>
      <c r="E44" s="486"/>
      <c r="F44" s="487"/>
      <c r="G44" s="487"/>
      <c r="H44" s="487"/>
      <c r="I44" s="496" t="s">
        <v>3</v>
      </c>
      <c r="J44" s="287">
        <f t="shared" si="5"/>
        <v>0</v>
      </c>
      <c r="K44" s="288">
        <f t="shared" si="6"/>
        <v>0</v>
      </c>
      <c r="L44" s="134" t="s">
        <v>3</v>
      </c>
      <c r="M44" s="287">
        <f t="shared" si="7"/>
        <v>0</v>
      </c>
      <c r="N44" s="288">
        <f t="shared" si="8"/>
        <v>0</v>
      </c>
      <c r="O44" s="134" t="s">
        <v>3</v>
      </c>
      <c r="P44" s="287">
        <f t="shared" si="9"/>
        <v>0</v>
      </c>
      <c r="Q44" s="288">
        <f t="shared" si="10"/>
        <v>0</v>
      </c>
      <c r="R44" s="134">
        <v>0</v>
      </c>
      <c r="S44" s="287">
        <f t="shared" si="11"/>
        <v>0</v>
      </c>
      <c r="T44" s="289">
        <f t="shared" si="12"/>
        <v>0</v>
      </c>
      <c r="U44" s="496">
        <v>0</v>
      </c>
      <c r="V44" s="287">
        <f>(IFERROR(U44/R44-1,0))</f>
        <v>0</v>
      </c>
      <c r="W44" s="288">
        <f t="shared" si="13"/>
        <v>0</v>
      </c>
      <c r="X44" s="134">
        <v>0</v>
      </c>
      <c r="Y44" s="287">
        <f>(IFERROR(X44/U44-1,0))</f>
        <v>0</v>
      </c>
      <c r="Z44" s="288">
        <f t="shared" si="14"/>
        <v>0</v>
      </c>
      <c r="AA44" s="134">
        <v>0</v>
      </c>
      <c r="AB44" s="287">
        <f>(IFERROR(AA44/X44-1,0))</f>
        <v>0</v>
      </c>
      <c r="AC44" s="288">
        <f t="shared" si="15"/>
        <v>0</v>
      </c>
      <c r="AD44" s="134">
        <v>0</v>
      </c>
      <c r="AE44" s="287">
        <f>(IFERROR(AD44/AA44-1,0))</f>
        <v>0</v>
      </c>
      <c r="AF44" s="289">
        <f t="shared" si="16"/>
        <v>0</v>
      </c>
      <c r="AG44" s="496">
        <v>0</v>
      </c>
      <c r="AH44" s="287">
        <f>(IFERROR(AG44/AD44-1,0))</f>
        <v>0</v>
      </c>
      <c r="AI44" s="288">
        <f t="shared" si="17"/>
        <v>0</v>
      </c>
      <c r="AJ44" s="134">
        <v>0</v>
      </c>
      <c r="AK44" s="287">
        <f>(IFERROR(AJ44/AG44-1,0))</f>
        <v>0</v>
      </c>
      <c r="AL44" s="288">
        <f t="shared" si="18"/>
        <v>0</v>
      </c>
      <c r="AM44" s="134">
        <v>0</v>
      </c>
      <c r="AN44" s="287">
        <f>(IFERROR(AM44/AJ44-1,0))</f>
        <v>0</v>
      </c>
      <c r="AO44" s="288">
        <f t="shared" si="19"/>
        <v>0</v>
      </c>
      <c r="AP44" s="134">
        <v>372.2851</v>
      </c>
      <c r="AQ44" s="287">
        <f>(IFERROR(AP44/AM44-1,0))</f>
        <v>0</v>
      </c>
      <c r="AR44" s="289">
        <f t="shared" si="20"/>
        <v>0</v>
      </c>
      <c r="AS44" s="496">
        <v>375.66885200000002</v>
      </c>
      <c r="AT44" s="287">
        <f>(IFERROR(AS44/AP44-1,0))</f>
        <v>9.0891416282843362E-3</v>
      </c>
      <c r="AU44" s="288">
        <f t="shared" si="153"/>
        <v>0</v>
      </c>
      <c r="AV44" s="134">
        <v>382.40359000000001</v>
      </c>
      <c r="AW44" s="287">
        <f>(IFERROR(AV44/AS44-1,0))</f>
        <v>1.7927326058962079E-2</v>
      </c>
      <c r="AX44" s="288">
        <f t="shared" si="154"/>
        <v>0</v>
      </c>
      <c r="AY44" s="134">
        <v>395.01138700000001</v>
      </c>
      <c r="AZ44" s="287">
        <f>(IFERROR(AY44/AV44-1,0))</f>
        <v>3.2969870915699362E-2</v>
      </c>
      <c r="BA44" s="288">
        <f t="shared" si="155"/>
        <v>0</v>
      </c>
      <c r="BB44" s="134" t="s">
        <v>3</v>
      </c>
      <c r="BC44" s="287">
        <f>(IFERROR(BB44/AY44-1,0))</f>
        <v>0</v>
      </c>
      <c r="BD44" s="289">
        <f t="shared" si="156"/>
        <v>0</v>
      </c>
      <c r="BE44" s="466">
        <v>0</v>
      </c>
      <c r="BF44" s="287">
        <f>(IFERROR(BE44/BB44-1,0))</f>
        <v>0</v>
      </c>
      <c r="BG44" s="288">
        <f t="shared" si="150"/>
        <v>-1</v>
      </c>
      <c r="BH44" s="467">
        <v>0</v>
      </c>
      <c r="BI44" s="287">
        <f>(IFERROR(BH44/BE44-1,0))</f>
        <v>0</v>
      </c>
      <c r="BJ44" s="288">
        <f t="shared" si="1"/>
        <v>-1</v>
      </c>
      <c r="BK44" s="467">
        <v>0</v>
      </c>
      <c r="BL44" s="287">
        <f>(IFERROR(BK44/BH44-1,0))</f>
        <v>0</v>
      </c>
      <c r="BM44" s="288">
        <f t="shared" si="2"/>
        <v>-1</v>
      </c>
      <c r="BN44" s="467">
        <v>0</v>
      </c>
      <c r="BO44" s="287">
        <f>(IFERROR(BN44/BK44-1,0))</f>
        <v>0</v>
      </c>
      <c r="BP44" s="289">
        <f t="shared" si="3"/>
        <v>0</v>
      </c>
      <c r="BQ44" s="466">
        <v>0</v>
      </c>
      <c r="BR44" s="287">
        <f>(IFERROR(BQ44/BN44-1,0))</f>
        <v>0</v>
      </c>
      <c r="BS44" s="288">
        <f t="shared" si="25"/>
        <v>0</v>
      </c>
      <c r="BT44" s="467">
        <v>0</v>
      </c>
      <c r="BU44" s="287">
        <f>(IFERROR(BT44/BQ44-1,0))</f>
        <v>0</v>
      </c>
      <c r="BV44" s="288">
        <f t="shared" si="26"/>
        <v>0</v>
      </c>
      <c r="BW44" s="467">
        <v>0</v>
      </c>
      <c r="BX44" s="287">
        <f>(IFERROR(BW44/BT44-1,0))</f>
        <v>0</v>
      </c>
      <c r="BY44" s="288">
        <f t="shared" si="27"/>
        <v>0</v>
      </c>
      <c r="BZ44" s="467">
        <v>13777.155554000001</v>
      </c>
      <c r="CA44" s="287">
        <f>(IFERROR(BZ44/BW44-1,0))</f>
        <v>0</v>
      </c>
      <c r="CB44" s="289">
        <f t="shared" si="28"/>
        <v>0</v>
      </c>
      <c r="CC44" s="466">
        <v>13777</v>
      </c>
      <c r="CD44" s="287">
        <f>(IFERROR(CC44/BZ44-1,0))</f>
        <v>-1.1290719582168762E-5</v>
      </c>
      <c r="CE44" s="288">
        <f t="shared" si="151"/>
        <v>0</v>
      </c>
      <c r="CF44" s="467">
        <v>6237.9725120000003</v>
      </c>
      <c r="CG44" s="287">
        <f t="shared" si="30"/>
        <v>-0.54721837032735721</v>
      </c>
      <c r="CH44" s="288">
        <f t="shared" si="31"/>
        <v>0</v>
      </c>
      <c r="CI44" s="467">
        <v>7704.3262640000003</v>
      </c>
      <c r="CJ44" s="287">
        <f t="shared" si="32"/>
        <v>0.2350689665879695</v>
      </c>
      <c r="CK44" s="288">
        <f t="shared" si="33"/>
        <v>0</v>
      </c>
      <c r="CL44" s="467">
        <v>9701.41</v>
      </c>
      <c r="CM44" s="287">
        <f t="shared" si="34"/>
        <v>0.25921588307231636</v>
      </c>
      <c r="CN44" s="288">
        <f t="shared" si="35"/>
        <v>-0.29583360208317211</v>
      </c>
      <c r="CO44" s="466">
        <v>13403</v>
      </c>
      <c r="CP44" s="287">
        <f t="shared" si="157"/>
        <v>0.38155175381722861</v>
      </c>
      <c r="CQ44" s="288">
        <f t="shared" si="152"/>
        <v>-2.7146693764970586E-2</v>
      </c>
      <c r="CR44" s="466">
        <v>13323.750881</v>
      </c>
      <c r="CS44" s="287">
        <f t="shared" si="37"/>
        <v>-5.9127895993433821E-3</v>
      </c>
      <c r="CT44" s="288">
        <f t="shared" si="38"/>
        <v>1.1359104829925224</v>
      </c>
      <c r="CU44" s="466">
        <v>0</v>
      </c>
      <c r="CV44" s="287">
        <f t="shared" si="39"/>
        <v>-1</v>
      </c>
      <c r="CW44" s="288">
        <f t="shared" si="40"/>
        <v>-1</v>
      </c>
      <c r="CX44" s="466">
        <v>0</v>
      </c>
      <c r="CY44" s="287">
        <f t="shared" si="41"/>
        <v>0</v>
      </c>
      <c r="CZ44" s="288">
        <f t="shared" si="42"/>
        <v>-1</v>
      </c>
    </row>
    <row r="45" spans="1:106" ht="16.2" customHeight="1">
      <c r="A45" s="141">
        <f t="shared" si="4"/>
        <v>44</v>
      </c>
      <c r="B45" s="23"/>
      <c r="C45" s="24" t="s">
        <v>488</v>
      </c>
      <c r="D45" s="636" t="s">
        <v>489</v>
      </c>
      <c r="E45" s="486"/>
      <c r="F45" s="487"/>
      <c r="G45" s="487"/>
      <c r="H45" s="487"/>
      <c r="I45" s="496"/>
      <c r="J45" s="287"/>
      <c r="K45" s="288"/>
      <c r="L45" s="134"/>
      <c r="M45" s="287"/>
      <c r="N45" s="288"/>
      <c r="O45" s="134"/>
      <c r="P45" s="287"/>
      <c r="Q45" s="288"/>
      <c r="R45" s="134"/>
      <c r="S45" s="287"/>
      <c r="T45" s="289"/>
      <c r="U45" s="496"/>
      <c r="V45" s="287"/>
      <c r="W45" s="288"/>
      <c r="X45" s="134"/>
      <c r="Y45" s="287"/>
      <c r="Z45" s="288"/>
      <c r="AA45" s="134"/>
      <c r="AB45" s="287"/>
      <c r="AC45" s="288"/>
      <c r="AD45" s="134"/>
      <c r="AE45" s="287"/>
      <c r="AF45" s="289"/>
      <c r="AG45" s="496"/>
      <c r="AH45" s="287"/>
      <c r="AI45" s="288"/>
      <c r="AJ45" s="134"/>
      <c r="AK45" s="287"/>
      <c r="AL45" s="288"/>
      <c r="AM45" s="134"/>
      <c r="AN45" s="287"/>
      <c r="AO45" s="288"/>
      <c r="AP45" s="134"/>
      <c r="AQ45" s="287"/>
      <c r="AR45" s="289"/>
      <c r="AS45" s="496"/>
      <c r="AT45" s="287"/>
      <c r="AU45" s="288"/>
      <c r="AV45" s="134"/>
      <c r="AW45" s="287"/>
      <c r="AX45" s="288"/>
      <c r="AY45" s="134"/>
      <c r="AZ45" s="287"/>
      <c r="BA45" s="288"/>
      <c r="BB45" s="134"/>
      <c r="BC45" s="287"/>
      <c r="BD45" s="289"/>
      <c r="BE45" s="466"/>
      <c r="BF45" s="287"/>
      <c r="BG45" s="288"/>
      <c r="BH45" s="467"/>
      <c r="BI45" s="287"/>
      <c r="BJ45" s="288"/>
      <c r="BK45" s="467"/>
      <c r="BL45" s="287"/>
      <c r="BM45" s="288"/>
      <c r="BN45" s="467"/>
      <c r="BO45" s="287"/>
      <c r="BP45" s="289"/>
      <c r="BQ45" s="466"/>
      <c r="BR45" s="287"/>
      <c r="BS45" s="288"/>
      <c r="BT45" s="467"/>
      <c r="BU45" s="287"/>
      <c r="BV45" s="288"/>
      <c r="BW45" s="467"/>
      <c r="BX45" s="287"/>
      <c r="BY45" s="288"/>
      <c r="BZ45" s="467"/>
      <c r="CA45" s="287"/>
      <c r="CB45" s="289"/>
      <c r="CC45" s="496">
        <v>0</v>
      </c>
      <c r="CD45" s="287">
        <f t="shared" ref="CD45" si="158">(IFERROR(CC45/BZ45-1,0))</f>
        <v>0</v>
      </c>
      <c r="CE45" s="288">
        <f t="shared" si="151"/>
        <v>0</v>
      </c>
      <c r="CF45" s="134">
        <v>0</v>
      </c>
      <c r="CG45" s="287">
        <f t="shared" ref="CG45" si="159">IFERROR(CF45/CC45-1,0)</f>
        <v>0</v>
      </c>
      <c r="CH45" s="288">
        <f t="shared" ref="CH45" si="160">IFERROR(CF45/BT45-1,)</f>
        <v>0</v>
      </c>
      <c r="CI45" s="134">
        <v>0</v>
      </c>
      <c r="CJ45" s="287">
        <f t="shared" ref="CJ45" si="161">IFERROR(CI45/CF45-1,0)</f>
        <v>0</v>
      </c>
      <c r="CK45" s="288">
        <f t="shared" ref="CK45" si="162">IFERROR(CI45/BW45-1,)</f>
        <v>0</v>
      </c>
      <c r="CL45" s="134">
        <v>0</v>
      </c>
      <c r="CM45" s="287">
        <f t="shared" ref="CM45" si="163">IFERROR(CL45/CI45-1,0)</f>
        <v>0</v>
      </c>
      <c r="CN45" s="288">
        <f t="shared" ref="CN45" si="164">IFERROR(CL45/BZ45-1,)</f>
        <v>0</v>
      </c>
      <c r="CO45" s="466">
        <v>2260</v>
      </c>
      <c r="CP45" s="287">
        <f t="shared" si="157"/>
        <v>0</v>
      </c>
      <c r="CQ45" s="288">
        <f t="shared" ref="CQ45" si="165">IFERROR(CO45/CC45-1,)</f>
        <v>0</v>
      </c>
      <c r="CR45" s="466">
        <v>690.904089</v>
      </c>
      <c r="CS45" s="287">
        <f t="shared" ref="CS45" si="166">IFERROR(CR45/CO45-1,0)</f>
        <v>-0.69429022610619473</v>
      </c>
      <c r="CT45" s="288">
        <f t="shared" ref="CT45" si="167">IFERROR(CR45/CF45-1,)</f>
        <v>0</v>
      </c>
      <c r="CU45" s="466">
        <v>0</v>
      </c>
      <c r="CV45" s="287">
        <f t="shared" ref="CV45" si="168">IFERROR(CU45/CR45-1,0)</f>
        <v>-1</v>
      </c>
      <c r="CW45" s="288">
        <f t="shared" ref="CW45" si="169">IFERROR(CU45/CI45-1,)</f>
        <v>0</v>
      </c>
      <c r="CX45" s="466">
        <v>0</v>
      </c>
      <c r="CY45" s="287">
        <f t="shared" ref="CY45" si="170">IFERROR(CX45/CU45-1,0)</f>
        <v>0</v>
      </c>
      <c r="CZ45" s="288">
        <f t="shared" ref="CZ45" si="171">IFERROR(CX45/CL45-1,)</f>
        <v>0</v>
      </c>
    </row>
    <row r="46" spans="1:106" s="14" customFormat="1" ht="16.2" customHeight="1">
      <c r="A46" s="141">
        <f t="shared" si="4"/>
        <v>45</v>
      </c>
      <c r="B46" s="18" t="s">
        <v>26</v>
      </c>
      <c r="C46" s="19"/>
      <c r="D46" s="634" t="s">
        <v>209</v>
      </c>
      <c r="E46" s="482">
        <f t="shared" ref="E46:O46" si="172">E53+E47</f>
        <v>36571.670379000003</v>
      </c>
      <c r="F46" s="483">
        <f t="shared" si="172"/>
        <v>41954.374255000002</v>
      </c>
      <c r="G46" s="483">
        <f t="shared" si="172"/>
        <v>44799.522691999999</v>
      </c>
      <c r="H46" s="483">
        <f t="shared" si="172"/>
        <v>51043.024111000006</v>
      </c>
      <c r="I46" s="494">
        <f t="shared" si="172"/>
        <v>56085.378000000004</v>
      </c>
      <c r="J46" s="280">
        <f t="shared" si="5"/>
        <v>9.8786346945955117E-2</v>
      </c>
      <c r="K46" s="281">
        <f t="shared" si="6"/>
        <v>0.53357441480728918</v>
      </c>
      <c r="L46" s="282">
        <f t="shared" si="172"/>
        <v>63717.354022</v>
      </c>
      <c r="M46" s="280">
        <f t="shared" si="7"/>
        <v>0.13607782088943021</v>
      </c>
      <c r="N46" s="281">
        <f t="shared" si="8"/>
        <v>0.51872969513795919</v>
      </c>
      <c r="O46" s="282">
        <f t="shared" si="172"/>
        <v>74797.354800999994</v>
      </c>
      <c r="P46" s="280">
        <f t="shared" si="9"/>
        <v>0.17389298330207414</v>
      </c>
      <c r="Q46" s="281">
        <f t="shared" si="10"/>
        <v>0.6696016007857335</v>
      </c>
      <c r="R46" s="282">
        <f>R53+R47</f>
        <v>87916.575572000002</v>
      </c>
      <c r="S46" s="280">
        <f t="shared" si="11"/>
        <v>0.1753968546869602</v>
      </c>
      <c r="T46" s="283">
        <f t="shared" si="12"/>
        <v>0.72240138791176323</v>
      </c>
      <c r="U46" s="494">
        <f>U53+U47</f>
        <v>97003.643599000003</v>
      </c>
      <c r="V46" s="280">
        <f>IFERROR(U46/R46-1,0)</f>
        <v>0.10336012256935634</v>
      </c>
      <c r="W46" s="281">
        <f t="shared" si="13"/>
        <v>0.72957100510225659</v>
      </c>
      <c r="X46" s="282">
        <f>X53+X47</f>
        <v>101725.018863</v>
      </c>
      <c r="Y46" s="280">
        <f>IFERROR(X46/U46-1,0)</f>
        <v>4.8672143528108336E-2</v>
      </c>
      <c r="Z46" s="281">
        <f t="shared" si="14"/>
        <v>0.59650413022293614</v>
      </c>
      <c r="AA46" s="282">
        <f>AA53+AA47</f>
        <v>110566.3146</v>
      </c>
      <c r="AB46" s="280">
        <f>IFERROR(AA46/X46-1,0)</f>
        <v>8.691367999554922E-2</v>
      </c>
      <c r="AC46" s="281">
        <f t="shared" si="15"/>
        <v>0.47821156101260676</v>
      </c>
      <c r="AD46" s="282">
        <f>AD53+AD47</f>
        <v>123756.87964500001</v>
      </c>
      <c r="AE46" s="280">
        <f>IFERROR(AD46/AA46-1,0)</f>
        <v>0.11930003358364627</v>
      </c>
      <c r="AF46" s="283">
        <f t="shared" si="16"/>
        <v>0.40766264882153314</v>
      </c>
      <c r="AG46" s="494">
        <f>AG53+AG47</f>
        <v>129463.98370300001</v>
      </c>
      <c r="AH46" s="280">
        <f>IFERROR(AG46/AD46-1,0)</f>
        <v>4.6115448889556543E-2</v>
      </c>
      <c r="AI46" s="281">
        <f t="shared" si="17"/>
        <v>0.33463011181504343</v>
      </c>
      <c r="AJ46" s="282">
        <f>AJ53+AJ47</f>
        <v>141506.17944000001</v>
      </c>
      <c r="AK46" s="280">
        <f>IFERROR(AJ46/AG46-1,0)</f>
        <v>9.3015797850201309E-2</v>
      </c>
      <c r="AL46" s="281">
        <f t="shared" si="18"/>
        <v>0.39106564954857359</v>
      </c>
      <c r="AM46" s="282">
        <f>AM53+AM47</f>
        <v>154053.51558599999</v>
      </c>
      <c r="AN46" s="280">
        <f>IFERROR(AM46/AJ46-1,0)</f>
        <v>8.8669881383661941E-2</v>
      </c>
      <c r="AO46" s="281">
        <f t="shared" si="19"/>
        <v>0.3933132902487102</v>
      </c>
      <c r="AP46" s="282">
        <f>AP53+AP47</f>
        <v>163744.43135199999</v>
      </c>
      <c r="AQ46" s="280">
        <f>IFERROR(AP46/AM46-1,0)</f>
        <v>6.2906164323072833E-2</v>
      </c>
      <c r="AR46" s="283">
        <f t="shared" si="20"/>
        <v>0.32311376807257397</v>
      </c>
      <c r="AS46" s="494">
        <f>AS53+AS47</f>
        <v>172416.42394000001</v>
      </c>
      <c r="AT46" s="280">
        <f>IFERROR(AS46/AP46-1,0)</f>
        <v>5.2960534391291336E-2</v>
      </c>
      <c r="AU46" s="281">
        <f t="shared" si="153"/>
        <v>0.33177134681361342</v>
      </c>
      <c r="AV46" s="282">
        <f>AV53+AV47</f>
        <v>186245.51312299998</v>
      </c>
      <c r="AW46" s="280">
        <f>IFERROR(AV46/AS46-1,0)</f>
        <v>8.020749338712907E-2</v>
      </c>
      <c r="AX46" s="281">
        <f t="shared" si="154"/>
        <v>0.31616522939176583</v>
      </c>
      <c r="AY46" s="282">
        <f>AY53+AY47</f>
        <v>201746.08315800002</v>
      </c>
      <c r="AZ46" s="280">
        <f>IFERROR(AY46/AV46-1,0)</f>
        <v>8.3226542079234855E-2</v>
      </c>
      <c r="BA46" s="281">
        <f t="shared" si="155"/>
        <v>0.30958441545837867</v>
      </c>
      <c r="BB46" s="282">
        <f>BB53+BB47</f>
        <v>229553.85716000001</v>
      </c>
      <c r="BC46" s="280">
        <f>IFERROR(BB46/AY46-1,0)</f>
        <v>0.13783550870834982</v>
      </c>
      <c r="BD46" s="283">
        <f t="shared" si="156"/>
        <v>0.40190329078446685</v>
      </c>
      <c r="BE46" s="462">
        <f>BE53+BE47</f>
        <v>240906.90308700001</v>
      </c>
      <c r="BF46" s="280">
        <f>IFERROR(BE46/BB46-1,0)</f>
        <v>4.9457003543559974E-2</v>
      </c>
      <c r="BG46" s="281">
        <f t="shared" si="150"/>
        <v>0.39723871764579877</v>
      </c>
      <c r="BH46" s="463">
        <f>BH53+BH47</f>
        <v>259980.504828</v>
      </c>
      <c r="BI46" s="280">
        <f>IFERROR(BH46/BE46-1,0)</f>
        <v>7.9174160211224143E-2</v>
      </c>
      <c r="BJ46" s="281">
        <f t="shared" si="1"/>
        <v>0.39590211043797918</v>
      </c>
      <c r="BK46" s="463">
        <f>BK53+BK47</f>
        <v>271169.36151000002</v>
      </c>
      <c r="BL46" s="280">
        <f>IFERROR(BK46/BH46-1,0)</f>
        <v>4.303729115920607E-2</v>
      </c>
      <c r="BM46" s="281">
        <f t="shared" si="2"/>
        <v>0.34411214961546621</v>
      </c>
      <c r="BN46" s="463">
        <f>BN53+BN47</f>
        <v>283500.499663</v>
      </c>
      <c r="BO46" s="280">
        <f>IFERROR(BN46/BK46-1,0)</f>
        <v>4.5473935861833015E-2</v>
      </c>
      <c r="BP46" s="283">
        <f t="shared" si="3"/>
        <v>0.23500647373308547</v>
      </c>
      <c r="BQ46" s="462">
        <f>BQ53+BQ47</f>
        <v>297235.16150500003</v>
      </c>
      <c r="BR46" s="280">
        <f>IFERROR(BQ46/BN46-1,0)</f>
        <v>4.8446693597812285E-2</v>
      </c>
      <c r="BS46" s="281">
        <f t="shared" si="25"/>
        <v>0.23381753572108255</v>
      </c>
      <c r="BT46" s="463">
        <f>BT53+BT47</f>
        <v>324931.12191993202</v>
      </c>
      <c r="BU46" s="280">
        <f>IFERROR(BT46/BQ46-1,0)</f>
        <v>9.3178614113815339E-2</v>
      </c>
      <c r="BV46" s="281">
        <f t="shared" si="26"/>
        <v>0.24982879825894089</v>
      </c>
      <c r="BW46" s="463">
        <f>BW53+BW47</f>
        <v>341975.06912100001</v>
      </c>
      <c r="BX46" s="280">
        <f>IFERROR(BW46/BT46-1,0)</f>
        <v>5.2454031181623506E-2</v>
      </c>
      <c r="BY46" s="281">
        <f t="shared" si="27"/>
        <v>0.2611124915319345</v>
      </c>
      <c r="BZ46" s="463">
        <f>BZ53+BZ47</f>
        <v>452643.914758</v>
      </c>
      <c r="CA46" s="280">
        <f>IFERROR(BZ46/BW46-1,0)</f>
        <v>0.32361670668408404</v>
      </c>
      <c r="CB46" s="283">
        <f t="shared" si="28"/>
        <v>0.59662475126520964</v>
      </c>
      <c r="CC46" s="462">
        <f>CC53+CC47</f>
        <v>466751.48369299999</v>
      </c>
      <c r="CD46" s="280">
        <f>IFERROR(CC46/BZ46-1,0)</f>
        <v>3.1167035444500391E-2</v>
      </c>
      <c r="CE46" s="281">
        <f t="shared" si="151"/>
        <v>0.57031046168859256</v>
      </c>
      <c r="CF46" s="463">
        <f>CF53+CF47</f>
        <v>494738.834195</v>
      </c>
      <c r="CG46" s="280">
        <f t="shared" si="30"/>
        <v>5.9961995793908152E-2</v>
      </c>
      <c r="CH46" s="281">
        <f t="shared" si="31"/>
        <v>0.52259602364870172</v>
      </c>
      <c r="CI46" s="463">
        <f>CI53+CI47</f>
        <v>518354.41884881904</v>
      </c>
      <c r="CJ46" s="280">
        <f t="shared" si="32"/>
        <v>4.7733436353837977E-2</v>
      </c>
      <c r="CK46" s="281">
        <f t="shared" si="33"/>
        <v>0.51576669077420756</v>
      </c>
      <c r="CL46" s="463">
        <f>CL53+CL47</f>
        <v>551674.24399999995</v>
      </c>
      <c r="CM46" s="280">
        <f t="shared" si="34"/>
        <v>6.4280005995084988E-2</v>
      </c>
      <c r="CN46" s="281">
        <f t="shared" si="35"/>
        <v>0.21878197411522748</v>
      </c>
      <c r="CO46" s="462">
        <f>CO53+CO47</f>
        <v>529290.46159399999</v>
      </c>
      <c r="CP46" s="280">
        <f>IFERROR(CO46/CL46-1,0)</f>
        <v>-4.0574274854129233E-2</v>
      </c>
      <c r="CQ46" s="281">
        <f t="shared" si="152"/>
        <v>0.13398774312656325</v>
      </c>
      <c r="CR46" s="462">
        <f>CR53+CR47</f>
        <v>555097.3139999999</v>
      </c>
      <c r="CS46" s="280">
        <f t="shared" si="37"/>
        <v>4.8757448468427889E-2</v>
      </c>
      <c r="CT46" s="281">
        <f t="shared" si="38"/>
        <v>0.12200069134093838</v>
      </c>
      <c r="CU46" s="462">
        <f>CU53+CU47</f>
        <v>0</v>
      </c>
      <c r="CV46" s="280">
        <f t="shared" si="39"/>
        <v>-1</v>
      </c>
      <c r="CW46" s="281">
        <f t="shared" si="40"/>
        <v>-1</v>
      </c>
      <c r="CX46" s="462">
        <f>CX53+CX47</f>
        <v>0</v>
      </c>
      <c r="CY46" s="280">
        <f t="shared" si="41"/>
        <v>0</v>
      </c>
      <c r="CZ46" s="281">
        <f t="shared" si="42"/>
        <v>-1</v>
      </c>
      <c r="DB46" s="8"/>
    </row>
    <row r="47" spans="1:106" s="22" customFormat="1" ht="18" customHeight="1">
      <c r="A47" s="141">
        <f t="shared" si="4"/>
        <v>46</v>
      </c>
      <c r="B47" s="20" t="s">
        <v>27</v>
      </c>
      <c r="C47" s="21"/>
      <c r="D47" s="635" t="s">
        <v>208</v>
      </c>
      <c r="E47" s="484">
        <f>SUM(E48:E52)</f>
        <v>36571.670379000003</v>
      </c>
      <c r="F47" s="485">
        <f t="shared" ref="F47:O47" si="173">SUM(F48:F52)</f>
        <v>41954.374255000002</v>
      </c>
      <c r="G47" s="485">
        <f t="shared" si="173"/>
        <v>44799.522691999999</v>
      </c>
      <c r="H47" s="485">
        <f t="shared" si="173"/>
        <v>51043.024111000006</v>
      </c>
      <c r="I47" s="495">
        <f t="shared" si="173"/>
        <v>56085.378000000004</v>
      </c>
      <c r="J47" s="284">
        <f t="shared" si="5"/>
        <v>9.8786346945955117E-2</v>
      </c>
      <c r="K47" s="285">
        <f t="shared" si="6"/>
        <v>0.53357441480728918</v>
      </c>
      <c r="L47" s="135">
        <f t="shared" si="173"/>
        <v>63717.354022</v>
      </c>
      <c r="M47" s="284">
        <f t="shared" si="7"/>
        <v>0.13607782088943021</v>
      </c>
      <c r="N47" s="285">
        <f t="shared" si="8"/>
        <v>0.51872969513795919</v>
      </c>
      <c r="O47" s="135">
        <f t="shared" si="173"/>
        <v>74797.354800999994</v>
      </c>
      <c r="P47" s="284">
        <f t="shared" si="9"/>
        <v>0.17389298330207414</v>
      </c>
      <c r="Q47" s="285">
        <f t="shared" si="10"/>
        <v>0.6696016007857335</v>
      </c>
      <c r="R47" s="135">
        <f>SUM(R48:R52)</f>
        <v>87916.575572000002</v>
      </c>
      <c r="S47" s="284">
        <f t="shared" si="11"/>
        <v>0.1753968546869602</v>
      </c>
      <c r="T47" s="286">
        <f t="shared" si="12"/>
        <v>0.72240138791176323</v>
      </c>
      <c r="U47" s="495">
        <f>SUM(U48:U52)</f>
        <v>97003.643599000003</v>
      </c>
      <c r="V47" s="284">
        <f>IFERROR(U47/R47-1,0)</f>
        <v>0.10336012256935634</v>
      </c>
      <c r="W47" s="285">
        <f t="shared" si="13"/>
        <v>0.72957100510225659</v>
      </c>
      <c r="X47" s="135">
        <f>SUM(X48:X52)</f>
        <v>101725.018863</v>
      </c>
      <c r="Y47" s="284">
        <f>IFERROR(X47/U47-1,0)</f>
        <v>4.8672143528108336E-2</v>
      </c>
      <c r="Z47" s="285">
        <f t="shared" si="14"/>
        <v>0.59650413022293614</v>
      </c>
      <c r="AA47" s="135">
        <f>SUM(AA48:AA52)</f>
        <v>110566.3146</v>
      </c>
      <c r="AB47" s="284">
        <f>IFERROR(AA47/X47-1,0)</f>
        <v>8.691367999554922E-2</v>
      </c>
      <c r="AC47" s="285">
        <f t="shared" si="15"/>
        <v>0.47821156101260676</v>
      </c>
      <c r="AD47" s="135">
        <f>SUM(AD48:AD52)</f>
        <v>123756.87964500001</v>
      </c>
      <c r="AE47" s="284">
        <f>IFERROR(AD47/AA47-1,0)</f>
        <v>0.11930003358364627</v>
      </c>
      <c r="AF47" s="286">
        <f t="shared" si="16"/>
        <v>0.40766264882153314</v>
      </c>
      <c r="AG47" s="495">
        <f>SUM(AG48:AG52)</f>
        <v>129463.98370300001</v>
      </c>
      <c r="AH47" s="284">
        <f>IFERROR(AG47/AD47-1,0)</f>
        <v>4.6115448889556543E-2</v>
      </c>
      <c r="AI47" s="285">
        <f t="shared" si="17"/>
        <v>0.33463011181504343</v>
      </c>
      <c r="AJ47" s="135">
        <f>SUM(AJ48:AJ52)</f>
        <v>141506.17944000001</v>
      </c>
      <c r="AK47" s="284">
        <f>IFERROR(AJ47/AG47-1,0)</f>
        <v>9.3015797850201309E-2</v>
      </c>
      <c r="AL47" s="285">
        <f t="shared" si="18"/>
        <v>0.39106564954857359</v>
      </c>
      <c r="AM47" s="135">
        <f>SUM(AM48:AM52)</f>
        <v>154053.51558599999</v>
      </c>
      <c r="AN47" s="284">
        <f>IFERROR(AM47/AJ47-1,0)</f>
        <v>8.8669881383661941E-2</v>
      </c>
      <c r="AO47" s="285">
        <f t="shared" si="19"/>
        <v>0.3933132902487102</v>
      </c>
      <c r="AP47" s="135">
        <f>SUM(AP48:AP52)</f>
        <v>163744.43135199999</v>
      </c>
      <c r="AQ47" s="284">
        <f>IFERROR(AP47/AM47-1,0)</f>
        <v>6.2906164323072833E-2</v>
      </c>
      <c r="AR47" s="286">
        <f t="shared" si="20"/>
        <v>0.32311376807257397</v>
      </c>
      <c r="AS47" s="495">
        <f>SUM(AS48:AS52)</f>
        <v>172416.42394000001</v>
      </c>
      <c r="AT47" s="284">
        <f>IFERROR(AS47/AP47-1,0)</f>
        <v>5.2960534391291336E-2</v>
      </c>
      <c r="AU47" s="285">
        <f t="shared" si="153"/>
        <v>0.33177134681361342</v>
      </c>
      <c r="AV47" s="135">
        <f>SUM(AV48:AV52)</f>
        <v>186245.51312299998</v>
      </c>
      <c r="AW47" s="284">
        <f>IFERROR(AV47/AS47-1,0)</f>
        <v>8.020749338712907E-2</v>
      </c>
      <c r="AX47" s="285">
        <f t="shared" si="154"/>
        <v>0.31616522939176583</v>
      </c>
      <c r="AY47" s="135">
        <f>SUM(AY48:AY52)</f>
        <v>201746.08315800002</v>
      </c>
      <c r="AZ47" s="284">
        <f>IFERROR(AY47/AV47-1,0)</f>
        <v>8.3226542079234855E-2</v>
      </c>
      <c r="BA47" s="285">
        <f t="shared" si="155"/>
        <v>0.30958441545837867</v>
      </c>
      <c r="BB47" s="135">
        <f>SUM(BB48:BB52)</f>
        <v>229553.85716000001</v>
      </c>
      <c r="BC47" s="284">
        <f>IFERROR(BB47/AY47-1,0)</f>
        <v>0.13783550870834982</v>
      </c>
      <c r="BD47" s="286">
        <f t="shared" si="156"/>
        <v>0.40190329078446685</v>
      </c>
      <c r="BE47" s="464">
        <f>SUM(BE48:BE52)</f>
        <v>240906.90308700001</v>
      </c>
      <c r="BF47" s="284">
        <f>IFERROR(BE47/BB47-1,0)</f>
        <v>4.9457003543559974E-2</v>
      </c>
      <c r="BG47" s="285">
        <f t="shared" si="150"/>
        <v>0.39723871764579877</v>
      </c>
      <c r="BH47" s="465">
        <f>SUM(BH48:BH52)</f>
        <v>259980.504828</v>
      </c>
      <c r="BI47" s="284">
        <f>IFERROR(BH47/BE47-1,0)</f>
        <v>7.9174160211224143E-2</v>
      </c>
      <c r="BJ47" s="285">
        <f t="shared" si="1"/>
        <v>0.39590211043797918</v>
      </c>
      <c r="BK47" s="465">
        <f>SUM(BK48:BK52)</f>
        <v>271169.36151000002</v>
      </c>
      <c r="BL47" s="284">
        <f>IFERROR(BK47/BH47-1,0)</f>
        <v>4.303729115920607E-2</v>
      </c>
      <c r="BM47" s="285">
        <f t="shared" si="2"/>
        <v>0.34411214961546621</v>
      </c>
      <c r="BN47" s="465">
        <f>SUM(BN48:BN52)</f>
        <v>283500.499663</v>
      </c>
      <c r="BO47" s="284">
        <f>IFERROR(BN47/BK47-1,0)</f>
        <v>4.5473935861833015E-2</v>
      </c>
      <c r="BP47" s="286">
        <f t="shared" si="3"/>
        <v>0.23500647373308547</v>
      </c>
      <c r="BQ47" s="464">
        <f>SUM(BQ48:BQ52)</f>
        <v>297235.16150500003</v>
      </c>
      <c r="BR47" s="284">
        <f>IFERROR(BQ47/BN47-1,0)</f>
        <v>4.8446693597812285E-2</v>
      </c>
      <c r="BS47" s="285">
        <f t="shared" si="25"/>
        <v>0.23381753572108255</v>
      </c>
      <c r="BT47" s="465">
        <f>SUM(BT48:BT52)</f>
        <v>324931.12191993202</v>
      </c>
      <c r="BU47" s="284">
        <f>IFERROR(BT47/BQ47-1,0)</f>
        <v>9.3178614113815339E-2</v>
      </c>
      <c r="BV47" s="285">
        <f t="shared" si="26"/>
        <v>0.24982879825894089</v>
      </c>
      <c r="BW47" s="465">
        <f>SUM(BW48:BW52)</f>
        <v>341975.06912100001</v>
      </c>
      <c r="BX47" s="284">
        <f>IFERROR(BW47/BT47-1,0)</f>
        <v>5.2454031181623506E-2</v>
      </c>
      <c r="BY47" s="285">
        <f t="shared" si="27"/>
        <v>0.2611124915319345</v>
      </c>
      <c r="BZ47" s="465">
        <f>SUM(BZ48:BZ52)</f>
        <v>453964.808472</v>
      </c>
      <c r="CA47" s="284">
        <f>IFERROR(BZ47/BW47-1,0)</f>
        <v>0.32747925057476923</v>
      </c>
      <c r="CB47" s="286">
        <f t="shared" si="28"/>
        <v>0.60128398013983286</v>
      </c>
      <c r="CC47" s="464">
        <f>SUM(CC48:CC52)</f>
        <v>468164</v>
      </c>
      <c r="CD47" s="284">
        <f>IFERROR(CC47/BZ47-1,0)</f>
        <v>3.1278176772761457E-2</v>
      </c>
      <c r="CE47" s="285">
        <f t="shared" si="151"/>
        <v>0.57506264612009783</v>
      </c>
      <c r="CF47" s="465">
        <f>SUM(CF48:CF52)</f>
        <v>496151</v>
      </c>
      <c r="CG47" s="284">
        <f t="shared" si="30"/>
        <v>5.9780333387445372E-2</v>
      </c>
      <c r="CH47" s="285">
        <f t="shared" si="31"/>
        <v>0.52694207027130857</v>
      </c>
      <c r="CI47" s="465">
        <f>SUM(CI48:CI52)</f>
        <v>519678.91097881907</v>
      </c>
      <c r="CJ47" s="284">
        <f t="shared" si="32"/>
        <v>4.7420867797946631E-2</v>
      </c>
      <c r="CK47" s="285">
        <f t="shared" si="33"/>
        <v>0.51963975711616173</v>
      </c>
      <c r="CL47" s="465">
        <f>SUM(CL48:CL52)</f>
        <v>552973.64399999997</v>
      </c>
      <c r="CM47" s="284">
        <f t="shared" si="34"/>
        <v>6.4067893304482926E-2</v>
      </c>
      <c r="CN47" s="285">
        <f t="shared" si="35"/>
        <v>0.21809804125842658</v>
      </c>
      <c r="CO47" s="464">
        <f>SUM(CO48:CO52)</f>
        <v>521812.85604999994</v>
      </c>
      <c r="CP47" s="284">
        <f>IFERROR(CO47/CL47-1,0)</f>
        <v>-5.6351307676428819E-2</v>
      </c>
      <c r="CQ47" s="285">
        <f t="shared" si="152"/>
        <v>0.11459415087447966</v>
      </c>
      <c r="CR47" s="464">
        <f>SUM(CR48:CR52)</f>
        <v>549527.65099999995</v>
      </c>
      <c r="CS47" s="284">
        <f t="shared" si="37"/>
        <v>5.3112518460726399E-2</v>
      </c>
      <c r="CT47" s="285">
        <f t="shared" si="38"/>
        <v>0.10758146411072422</v>
      </c>
      <c r="CU47" s="464">
        <f>SUM(CU48:CU52)</f>
        <v>0</v>
      </c>
      <c r="CV47" s="284">
        <f t="shared" si="39"/>
        <v>-1</v>
      </c>
      <c r="CW47" s="285">
        <f t="shared" si="40"/>
        <v>-1</v>
      </c>
      <c r="CX47" s="464">
        <f>SUM(CX48:CX52)</f>
        <v>0</v>
      </c>
      <c r="CY47" s="284">
        <f t="shared" si="41"/>
        <v>0</v>
      </c>
      <c r="CZ47" s="285">
        <f t="shared" si="42"/>
        <v>-1</v>
      </c>
      <c r="DB47" s="8"/>
    </row>
    <row r="48" spans="1:106" ht="16.2" customHeight="1">
      <c r="A48" s="141">
        <f t="shared" si="4"/>
        <v>47</v>
      </c>
      <c r="B48" s="23"/>
      <c r="C48" s="24" t="s">
        <v>140</v>
      </c>
      <c r="D48" s="636" t="s">
        <v>255</v>
      </c>
      <c r="E48" s="486">
        <v>6047.3077000000003</v>
      </c>
      <c r="F48" s="487">
        <v>6197.3077000000003</v>
      </c>
      <c r="G48" s="487">
        <v>6197.3077000000003</v>
      </c>
      <c r="H48" s="487">
        <v>6197.3077000000003</v>
      </c>
      <c r="I48" s="496">
        <v>6197.3077000000003</v>
      </c>
      <c r="J48" s="287">
        <f t="shared" si="5"/>
        <v>0</v>
      </c>
      <c r="K48" s="288">
        <f t="shared" si="6"/>
        <v>2.4804426604586371E-2</v>
      </c>
      <c r="L48" s="134">
        <v>6197.3077000000003</v>
      </c>
      <c r="M48" s="287">
        <f t="shared" si="7"/>
        <v>0</v>
      </c>
      <c r="N48" s="288">
        <f t="shared" si="8"/>
        <v>0</v>
      </c>
      <c r="O48" s="134">
        <v>6283.0113000000001</v>
      </c>
      <c r="P48" s="287">
        <f t="shared" si="9"/>
        <v>1.3829166494347289E-2</v>
      </c>
      <c r="Q48" s="288">
        <f t="shared" si="10"/>
        <v>1.3829166494347289E-2</v>
      </c>
      <c r="R48" s="134">
        <v>6436.4380000000001</v>
      </c>
      <c r="S48" s="287">
        <f t="shared" si="11"/>
        <v>2.441929397771414E-2</v>
      </c>
      <c r="T48" s="289">
        <f t="shared" si="12"/>
        <v>3.8586158954153627E-2</v>
      </c>
      <c r="U48" s="496">
        <v>6470.9168</v>
      </c>
      <c r="V48" s="287">
        <f>(IFERROR(U48/R48-1,0))</f>
        <v>5.3568138153432532E-3</v>
      </c>
      <c r="W48" s="288">
        <f t="shared" si="13"/>
        <v>4.4149671638863408E-2</v>
      </c>
      <c r="X48" s="134">
        <v>6470.9168</v>
      </c>
      <c r="Y48" s="287">
        <f>(IFERROR(X48/U48-1,0))</f>
        <v>0</v>
      </c>
      <c r="Z48" s="288">
        <f t="shared" si="14"/>
        <v>4.4149671638863408E-2</v>
      </c>
      <c r="AA48" s="134">
        <v>6470.9168</v>
      </c>
      <c r="AB48" s="287">
        <f>(IFERROR(AA48/X48-1,0))</f>
        <v>0</v>
      </c>
      <c r="AC48" s="288">
        <f t="shared" si="15"/>
        <v>2.9906917404397992E-2</v>
      </c>
      <c r="AD48" s="134">
        <v>6470.9168</v>
      </c>
      <c r="AE48" s="287">
        <f>(IFERROR(AD48/AA48-1,0))</f>
        <v>0</v>
      </c>
      <c r="AF48" s="289">
        <f t="shared" si="16"/>
        <v>5.3568138153432532E-3</v>
      </c>
      <c r="AG48" s="496">
        <v>6471.6863999999996</v>
      </c>
      <c r="AH48" s="287">
        <f>(IFERROR(AG48/AD48-1,0))</f>
        <v>1.18932142660233E-4</v>
      </c>
      <c r="AI48" s="288">
        <f t="shared" si="17"/>
        <v>1.18932142660233E-4</v>
      </c>
      <c r="AJ48" s="134">
        <v>6471.6863999999996</v>
      </c>
      <c r="AK48" s="287">
        <f>(IFERROR(AJ48/AG48-1,0))</f>
        <v>0</v>
      </c>
      <c r="AL48" s="288">
        <f t="shared" si="18"/>
        <v>1.18932142660233E-4</v>
      </c>
      <c r="AM48" s="134">
        <v>6471.6863999999996</v>
      </c>
      <c r="AN48" s="287">
        <f>(IFERROR(AM48/AJ48-1,0))</f>
        <v>0</v>
      </c>
      <c r="AO48" s="288">
        <f t="shared" si="19"/>
        <v>1.18932142660233E-4</v>
      </c>
      <c r="AP48" s="134">
        <v>6471.6863999999996</v>
      </c>
      <c r="AQ48" s="287">
        <f>(IFERROR(AP48/AM48-1,0))</f>
        <v>0</v>
      </c>
      <c r="AR48" s="289">
        <f t="shared" si="20"/>
        <v>1.18932142660233E-4</v>
      </c>
      <c r="AS48" s="496">
        <v>6477.6701999999996</v>
      </c>
      <c r="AT48" s="287">
        <f>(IFERROR(AS48/AP48-1,0))</f>
        <v>9.246121690940079E-4</v>
      </c>
      <c r="AU48" s="288">
        <f t="shared" si="153"/>
        <v>9.246121690940079E-4</v>
      </c>
      <c r="AV48" s="134">
        <v>6477.6701999999996</v>
      </c>
      <c r="AW48" s="287">
        <f>(IFERROR(AV48/AS48-1,0))</f>
        <v>0</v>
      </c>
      <c r="AX48" s="288">
        <f t="shared" si="154"/>
        <v>9.246121690940079E-4</v>
      </c>
      <c r="AY48" s="134">
        <v>6477.6701999999996</v>
      </c>
      <c r="AZ48" s="287">
        <f>(IFERROR(AY48/AV48-1,0))</f>
        <v>0</v>
      </c>
      <c r="BA48" s="288">
        <f t="shared" si="155"/>
        <v>9.246121690940079E-4</v>
      </c>
      <c r="BB48" s="134">
        <v>6477.6701999999996</v>
      </c>
      <c r="BC48" s="287">
        <f>(IFERROR(BB48/AY48-1,0))</f>
        <v>0</v>
      </c>
      <c r="BD48" s="289">
        <f t="shared" si="156"/>
        <v>9.246121690940079E-4</v>
      </c>
      <c r="BE48" s="466">
        <v>6477.6701999999996</v>
      </c>
      <c r="BF48" s="287">
        <f>(IFERROR(BE48/BB48-1,0))</f>
        <v>0</v>
      </c>
      <c r="BG48" s="288">
        <f t="shared" si="150"/>
        <v>0</v>
      </c>
      <c r="BH48" s="467">
        <v>6477.6701999999996</v>
      </c>
      <c r="BI48" s="287">
        <f>(IFERROR(BH48/BE48-1,0))</f>
        <v>0</v>
      </c>
      <c r="BJ48" s="288">
        <f t="shared" si="1"/>
        <v>0</v>
      </c>
      <c r="BK48" s="467">
        <v>6477.6701999999996</v>
      </c>
      <c r="BL48" s="287">
        <f>(IFERROR(BK48/BH48-1,0))</f>
        <v>0</v>
      </c>
      <c r="BM48" s="288">
        <f t="shared" si="2"/>
        <v>0</v>
      </c>
      <c r="BN48" s="467">
        <v>6477.6701999999996</v>
      </c>
      <c r="BO48" s="287">
        <f>(IFERROR(BN48/BK48-1,0))</f>
        <v>0</v>
      </c>
      <c r="BP48" s="289">
        <f t="shared" si="3"/>
        <v>0</v>
      </c>
      <c r="BQ48" s="466">
        <v>6477.6701999999996</v>
      </c>
      <c r="BR48" s="287">
        <f>(IFERROR(BQ48/BN48-1,0))</f>
        <v>0</v>
      </c>
      <c r="BS48" s="288">
        <f t="shared" si="25"/>
        <v>0</v>
      </c>
      <c r="BT48" s="467">
        <v>6477.6701999999996</v>
      </c>
      <c r="BU48" s="287">
        <f>(IFERROR(BT48/BQ48-1,0))</f>
        <v>0</v>
      </c>
      <c r="BV48" s="288">
        <f t="shared" si="26"/>
        <v>0</v>
      </c>
      <c r="BW48" s="467">
        <v>6477.6701999999996</v>
      </c>
      <c r="BX48" s="287">
        <f>(IFERROR(BW48/BT48-1,0))</f>
        <v>0</v>
      </c>
      <c r="BY48" s="288">
        <f t="shared" si="27"/>
        <v>0</v>
      </c>
      <c r="BZ48" s="467">
        <v>6628.2842000000001</v>
      </c>
      <c r="CA48" s="287">
        <f>(IFERROR(BZ48/BW48-1,0))</f>
        <v>2.3251260924028072E-2</v>
      </c>
      <c r="CB48" s="289">
        <f t="shared" si="28"/>
        <v>2.3251260924028072E-2</v>
      </c>
      <c r="CC48" s="466">
        <v>6628</v>
      </c>
      <c r="CD48" s="287">
        <f>(IFERROR(CC48/BZ48-1,0))</f>
        <v>-4.2876857935580936E-5</v>
      </c>
      <c r="CE48" s="288">
        <f t="shared" si="151"/>
        <v>2.3207387125080858E-2</v>
      </c>
      <c r="CF48" s="467">
        <v>6628</v>
      </c>
      <c r="CG48" s="287">
        <f t="shared" si="30"/>
        <v>0</v>
      </c>
      <c r="CH48" s="288">
        <f t="shared" si="31"/>
        <v>2.3207387125080858E-2</v>
      </c>
      <c r="CI48" s="467">
        <v>6628.2842000000001</v>
      </c>
      <c r="CJ48" s="287">
        <f t="shared" si="32"/>
        <v>4.2878696439263564E-5</v>
      </c>
      <c r="CK48" s="288">
        <f t="shared" si="33"/>
        <v>2.3251260924028072E-2</v>
      </c>
      <c r="CL48" s="467">
        <v>6628.3</v>
      </c>
      <c r="CM48" s="287">
        <f t="shared" si="34"/>
        <v>2.3837239808699451E-6</v>
      </c>
      <c r="CN48" s="288">
        <f t="shared" si="35"/>
        <v>2.3837239808699451E-6</v>
      </c>
      <c r="CO48" s="466">
        <v>6628.2842000000001</v>
      </c>
      <c r="CP48" s="287">
        <f>(IFERROR(CO48/CL48-1,0))</f>
        <v>-2.3837182988595274E-6</v>
      </c>
      <c r="CQ48" s="288">
        <f t="shared" si="152"/>
        <v>4.2878696439263564E-5</v>
      </c>
      <c r="CR48" s="466">
        <v>6628.2839999999997</v>
      </c>
      <c r="CS48" s="287">
        <f t="shared" si="37"/>
        <v>-3.0173721299320277E-8</v>
      </c>
      <c r="CT48" s="288">
        <f t="shared" si="38"/>
        <v>4.2848521424110331E-5</v>
      </c>
      <c r="CU48" s="466">
        <v>0</v>
      </c>
      <c r="CV48" s="287">
        <f t="shared" si="39"/>
        <v>-1</v>
      </c>
      <c r="CW48" s="288">
        <f t="shared" si="40"/>
        <v>-1</v>
      </c>
      <c r="CX48" s="466">
        <v>0</v>
      </c>
      <c r="CY48" s="287">
        <f t="shared" si="41"/>
        <v>0</v>
      </c>
      <c r="CZ48" s="288">
        <f t="shared" si="42"/>
        <v>-1</v>
      </c>
    </row>
    <row r="49" spans="1:108" ht="16.2" customHeight="1">
      <c r="A49" s="141">
        <f t="shared" si="4"/>
        <v>48</v>
      </c>
      <c r="B49" s="23"/>
      <c r="C49" s="24" t="s">
        <v>141</v>
      </c>
      <c r="D49" s="636" t="s">
        <v>254</v>
      </c>
      <c r="E49" s="486">
        <v>17858.287918999999</v>
      </c>
      <c r="F49" s="487">
        <v>19185.934646000002</v>
      </c>
      <c r="G49" s="487">
        <v>19185.934646000002</v>
      </c>
      <c r="H49" s="487">
        <v>19185.934646000002</v>
      </c>
      <c r="I49" s="496">
        <v>19185.934646000002</v>
      </c>
      <c r="J49" s="287">
        <f t="shared" si="5"/>
        <v>0</v>
      </c>
      <c r="K49" s="288">
        <f t="shared" si="6"/>
        <v>7.434344955248906E-2</v>
      </c>
      <c r="L49" s="134">
        <v>19185.934646000002</v>
      </c>
      <c r="M49" s="287">
        <f t="shared" si="7"/>
        <v>0</v>
      </c>
      <c r="N49" s="288">
        <f t="shared" si="8"/>
        <v>0</v>
      </c>
      <c r="O49" s="134">
        <v>20727.772675</v>
      </c>
      <c r="P49" s="287">
        <f t="shared" si="9"/>
        <v>8.036293552795204E-2</v>
      </c>
      <c r="Q49" s="288">
        <f t="shared" si="10"/>
        <v>8.036293552795204E-2</v>
      </c>
      <c r="R49" s="134">
        <v>23487.973190000001</v>
      </c>
      <c r="S49" s="287">
        <f t="shared" si="11"/>
        <v>0.13316435674389226</v>
      </c>
      <c r="T49" s="289">
        <f t="shared" si="12"/>
        <v>0.22422877088747484</v>
      </c>
      <c r="U49" s="496">
        <v>24108.258978000002</v>
      </c>
      <c r="V49" s="287">
        <f>(IFERROR(U49/R49-1,0))</f>
        <v>2.6408655314034801E-2</v>
      </c>
      <c r="W49" s="288">
        <f t="shared" si="13"/>
        <v>0.25655900652336672</v>
      </c>
      <c r="X49" s="134">
        <v>24108.258978000002</v>
      </c>
      <c r="Y49" s="287">
        <f>(IFERROR(X49/U49-1,0))</f>
        <v>0</v>
      </c>
      <c r="Z49" s="288">
        <f t="shared" si="14"/>
        <v>0.25655900652336672</v>
      </c>
      <c r="AA49" s="134">
        <v>24108.258978000002</v>
      </c>
      <c r="AB49" s="287">
        <f>(IFERROR(AA49/X49-1,0))</f>
        <v>0</v>
      </c>
      <c r="AC49" s="288">
        <f t="shared" si="15"/>
        <v>0.16308970365529163</v>
      </c>
      <c r="AD49" s="134">
        <v>24108.258978000002</v>
      </c>
      <c r="AE49" s="287">
        <f>(IFERROR(AD49/AA49-1,0))</f>
        <v>0</v>
      </c>
      <c r="AF49" s="289">
        <f t="shared" si="16"/>
        <v>2.6408655314034801E-2</v>
      </c>
      <c r="AG49" s="496">
        <v>24122.104353999999</v>
      </c>
      <c r="AH49" s="287">
        <f>(IFERROR(AG49/AD49-1,0))</f>
        <v>5.74300119001947E-4</v>
      </c>
      <c r="AI49" s="288">
        <f t="shared" si="17"/>
        <v>5.74300119001947E-4</v>
      </c>
      <c r="AJ49" s="134">
        <v>24122.104353999999</v>
      </c>
      <c r="AK49" s="287">
        <f>(IFERROR(AJ49/AG49-1,0))</f>
        <v>0</v>
      </c>
      <c r="AL49" s="288">
        <f t="shared" si="18"/>
        <v>5.74300119001947E-4</v>
      </c>
      <c r="AM49" s="134">
        <v>24122.104353999999</v>
      </c>
      <c r="AN49" s="287">
        <f>(IFERROR(AM49/AJ49-1,0))</f>
        <v>0</v>
      </c>
      <c r="AO49" s="288">
        <f t="shared" si="19"/>
        <v>5.74300119001947E-4</v>
      </c>
      <c r="AP49" s="134">
        <v>24122.104353999999</v>
      </c>
      <c r="AQ49" s="287">
        <f>(IFERROR(AP49/AM49-1,0))</f>
        <v>0</v>
      </c>
      <c r="AR49" s="289">
        <f t="shared" si="20"/>
        <v>5.74300119001947E-4</v>
      </c>
      <c r="AS49" s="496">
        <v>24229.755029</v>
      </c>
      <c r="AT49" s="287">
        <f>(IFERROR(AS49/AP49-1,0))</f>
        <v>4.4627397933525437E-3</v>
      </c>
      <c r="AU49" s="288">
        <f t="shared" si="153"/>
        <v>4.4627397933525437E-3</v>
      </c>
      <c r="AV49" s="134">
        <v>24229.755029</v>
      </c>
      <c r="AW49" s="287">
        <f>(IFERROR(AV49/AS49-1,0))</f>
        <v>0</v>
      </c>
      <c r="AX49" s="288">
        <f t="shared" si="154"/>
        <v>4.4627397933525437E-3</v>
      </c>
      <c r="AY49" s="134">
        <v>24229.755029</v>
      </c>
      <c r="AZ49" s="287">
        <f>(IFERROR(AY49/AV49-1,0))</f>
        <v>0</v>
      </c>
      <c r="BA49" s="288">
        <f t="shared" si="155"/>
        <v>4.4627397933525437E-3</v>
      </c>
      <c r="BB49" s="134">
        <v>24229.755029</v>
      </c>
      <c r="BC49" s="287">
        <f>(IFERROR(BB49/AY49-1,0))</f>
        <v>0</v>
      </c>
      <c r="BD49" s="289">
        <f t="shared" si="156"/>
        <v>4.4627397933525437E-3</v>
      </c>
      <c r="BE49" s="466">
        <v>24229.755029</v>
      </c>
      <c r="BF49" s="287">
        <f>(IFERROR(BE49/BB49-1,0))</f>
        <v>0</v>
      </c>
      <c r="BG49" s="288">
        <f t="shared" si="150"/>
        <v>0</v>
      </c>
      <c r="BH49" s="467">
        <v>24229.755029</v>
      </c>
      <c r="BI49" s="287">
        <f>(IFERROR(BH49/BE49-1,0))</f>
        <v>0</v>
      </c>
      <c r="BJ49" s="288">
        <f t="shared" si="1"/>
        <v>0</v>
      </c>
      <c r="BK49" s="467">
        <v>24229.755029</v>
      </c>
      <c r="BL49" s="287">
        <f>(IFERROR(BK49/BH49-1,0))</f>
        <v>0</v>
      </c>
      <c r="BM49" s="288">
        <f t="shared" si="2"/>
        <v>0</v>
      </c>
      <c r="BN49" s="467">
        <v>24229.755029</v>
      </c>
      <c r="BO49" s="287">
        <f>(IFERROR(BN49/BK49-1,0))</f>
        <v>0</v>
      </c>
      <c r="BP49" s="289">
        <f t="shared" si="3"/>
        <v>0</v>
      </c>
      <c r="BQ49" s="466">
        <v>24229.755029</v>
      </c>
      <c r="BR49" s="287">
        <f>(IFERROR(BQ49/BN49-1,0))</f>
        <v>0</v>
      </c>
      <c r="BS49" s="288">
        <f t="shared" si="25"/>
        <v>0</v>
      </c>
      <c r="BT49" s="467">
        <v>24229.755029</v>
      </c>
      <c r="BU49" s="287">
        <f>(IFERROR(BT49/BQ49-1,0))</f>
        <v>0</v>
      </c>
      <c r="BV49" s="288">
        <f t="shared" si="26"/>
        <v>0</v>
      </c>
      <c r="BW49" s="467">
        <v>24229.755029</v>
      </c>
      <c r="BX49" s="287">
        <f>(IFERROR(BW49/BT49-1,0))</f>
        <v>0</v>
      </c>
      <c r="BY49" s="288">
        <f t="shared" si="27"/>
        <v>0</v>
      </c>
      <c r="BZ49" s="467">
        <v>106314.385029</v>
      </c>
      <c r="CA49" s="287">
        <f>(IFERROR(BZ49/BW49-1,0))</f>
        <v>3.3877614487540182</v>
      </c>
      <c r="CB49" s="289">
        <f t="shared" si="28"/>
        <v>3.3877614487540182</v>
      </c>
      <c r="CC49" s="466">
        <v>106314</v>
      </c>
      <c r="CD49" s="287">
        <f>(IFERROR(CC49/BZ49-1,0))</f>
        <v>-3.6216077428097293E-6</v>
      </c>
      <c r="CE49" s="288">
        <f t="shared" si="151"/>
        <v>3.3877455580031812</v>
      </c>
      <c r="CF49" s="467">
        <v>106314</v>
      </c>
      <c r="CG49" s="287">
        <f t="shared" si="30"/>
        <v>0</v>
      </c>
      <c r="CH49" s="288">
        <f t="shared" si="31"/>
        <v>3.3877455580031812</v>
      </c>
      <c r="CI49" s="467">
        <v>106314.385029</v>
      </c>
      <c r="CJ49" s="287">
        <f t="shared" si="32"/>
        <v>3.6216208589845422E-6</v>
      </c>
      <c r="CK49" s="288">
        <f t="shared" si="33"/>
        <v>3.3877614487540182</v>
      </c>
      <c r="CL49" s="467">
        <v>9942.5</v>
      </c>
      <c r="CM49" s="287">
        <f t="shared" si="34"/>
        <v>-0.90648020023548148</v>
      </c>
      <c r="CN49" s="288">
        <f t="shared" si="35"/>
        <v>-0.90648020023548148</v>
      </c>
      <c r="CO49" s="466">
        <v>9942.4850289999995</v>
      </c>
      <c r="CP49" s="287">
        <f>(IFERROR(CO49/CL49-1,0))</f>
        <v>-1.5057581091992844E-6</v>
      </c>
      <c r="CQ49" s="288">
        <f t="shared" si="152"/>
        <v>-0.90648000236093085</v>
      </c>
      <c r="CR49" s="466">
        <v>9942.4850000000006</v>
      </c>
      <c r="CS49" s="287">
        <f t="shared" si="37"/>
        <v>-2.916775709849162E-9</v>
      </c>
      <c r="CT49" s="288">
        <f t="shared" si="38"/>
        <v>-0.90648000263370765</v>
      </c>
      <c r="CU49" s="466">
        <v>0</v>
      </c>
      <c r="CV49" s="287">
        <f t="shared" si="39"/>
        <v>-1</v>
      </c>
      <c r="CW49" s="288">
        <f t="shared" si="40"/>
        <v>-1</v>
      </c>
      <c r="CX49" s="466">
        <v>0</v>
      </c>
      <c r="CY49" s="287">
        <f t="shared" si="41"/>
        <v>0</v>
      </c>
      <c r="CZ49" s="288">
        <f t="shared" si="42"/>
        <v>-1</v>
      </c>
    </row>
    <row r="50" spans="1:108" ht="16.2" customHeight="1">
      <c r="A50" s="141">
        <f t="shared" si="4"/>
        <v>49</v>
      </c>
      <c r="B50" s="23"/>
      <c r="C50" s="24" t="s">
        <v>142</v>
      </c>
      <c r="D50" s="636" t="s">
        <v>210</v>
      </c>
      <c r="E50" s="486">
        <v>137.363878</v>
      </c>
      <c r="F50" s="487">
        <v>165.41250400000001</v>
      </c>
      <c r="G50" s="487">
        <v>193.46113</v>
      </c>
      <c r="H50" s="487">
        <v>213.68881300000001</v>
      </c>
      <c r="I50" s="496">
        <v>218.27461099999999</v>
      </c>
      <c r="J50" s="287">
        <f t="shared" si="5"/>
        <v>2.1460168810989666E-2</v>
      </c>
      <c r="K50" s="288">
        <f t="shared" si="6"/>
        <v>0.58902481626210346</v>
      </c>
      <c r="L50" s="134">
        <v>222.860409</v>
      </c>
      <c r="M50" s="287">
        <f t="shared" si="7"/>
        <v>2.1009305566921821E-2</v>
      </c>
      <c r="N50" s="288">
        <f t="shared" si="8"/>
        <v>0.34730086064110366</v>
      </c>
      <c r="O50" s="134">
        <v>155.795863</v>
      </c>
      <c r="P50" s="287">
        <f t="shared" si="9"/>
        <v>-0.30092624482260555</v>
      </c>
      <c r="Q50" s="288">
        <f t="shared" si="10"/>
        <v>-0.19469165201299088</v>
      </c>
      <c r="R50" s="134">
        <v>33.000321</v>
      </c>
      <c r="S50" s="287">
        <f t="shared" si="11"/>
        <v>-0.78818230237602649</v>
      </c>
      <c r="T50" s="289">
        <f t="shared" si="12"/>
        <v>-0.84556832649915092</v>
      </c>
      <c r="U50" s="496">
        <v>5.4051049999999998</v>
      </c>
      <c r="V50" s="287">
        <f>(IFERROR(U50/R50-1,0))</f>
        <v>-0.83621053261875844</v>
      </c>
      <c r="W50" s="288">
        <f t="shared" si="13"/>
        <v>-0.97523713374067134</v>
      </c>
      <c r="X50" s="134">
        <v>5.4051049999999998</v>
      </c>
      <c r="Y50" s="287">
        <f>(IFERROR(X50/U50-1,0))</f>
        <v>0</v>
      </c>
      <c r="Z50" s="288">
        <f t="shared" si="14"/>
        <v>-0.97574667916902191</v>
      </c>
      <c r="AA50" s="134">
        <v>5.4051049999999998</v>
      </c>
      <c r="AB50" s="287">
        <f>(IFERROR(AA50/X50-1,0))</f>
        <v>0</v>
      </c>
      <c r="AC50" s="288">
        <f t="shared" si="15"/>
        <v>-0.96530649212424846</v>
      </c>
      <c r="AD50" s="134">
        <v>5.4051049999999998</v>
      </c>
      <c r="AE50" s="287">
        <f>(IFERROR(AD50/AA50-1,0))</f>
        <v>0</v>
      </c>
      <c r="AF50" s="289">
        <f t="shared" si="16"/>
        <v>-0.83621053261875844</v>
      </c>
      <c r="AG50" s="496">
        <v>4.7891529999999998</v>
      </c>
      <c r="AH50" s="287">
        <f>(IFERROR(AG50/AD50-1,0))</f>
        <v>-0.1139574531854608</v>
      </c>
      <c r="AI50" s="288">
        <f t="shared" si="17"/>
        <v>-0.1139574531854608</v>
      </c>
      <c r="AJ50" s="134">
        <v>4.7891529999999998</v>
      </c>
      <c r="AK50" s="287">
        <f>(IFERROR(AJ50/AG50-1,0))</f>
        <v>0</v>
      </c>
      <c r="AL50" s="288">
        <f t="shared" si="18"/>
        <v>-0.1139574531854608</v>
      </c>
      <c r="AM50" s="134">
        <v>4.7891529999999998</v>
      </c>
      <c r="AN50" s="287">
        <f>(IFERROR(AM50/AJ50-1,0))</f>
        <v>0</v>
      </c>
      <c r="AO50" s="288">
        <f t="shared" si="19"/>
        <v>-0.1139574531854608</v>
      </c>
      <c r="AP50" s="134">
        <v>4.7891529999999998</v>
      </c>
      <c r="AQ50" s="287">
        <f>(IFERROR(AP50/AM50-1,0))</f>
        <v>0</v>
      </c>
      <c r="AR50" s="289">
        <f t="shared" si="20"/>
        <v>-0.1139574531854608</v>
      </c>
      <c r="AS50" s="496">
        <v>0</v>
      </c>
      <c r="AT50" s="287">
        <f>(IFERROR(AS50/AP50-1,0))</f>
        <v>-1</v>
      </c>
      <c r="AU50" s="288">
        <f t="shared" si="153"/>
        <v>-1</v>
      </c>
      <c r="AV50" s="134">
        <v>0</v>
      </c>
      <c r="AW50" s="287">
        <f>(IFERROR(AV50/AS50-1,0))</f>
        <v>0</v>
      </c>
      <c r="AX50" s="288">
        <f t="shared" si="154"/>
        <v>-1</v>
      </c>
      <c r="AY50" s="134">
        <v>-3255.1378</v>
      </c>
      <c r="AZ50" s="287">
        <f>(IFERROR(AY50/AV50-1,0))</f>
        <v>0</v>
      </c>
      <c r="BA50" s="288">
        <f t="shared" si="155"/>
        <v>-680.68966537506742</v>
      </c>
      <c r="BB50" s="134">
        <v>-5421.9760999999999</v>
      </c>
      <c r="BC50" s="287">
        <f>(IFERROR(BB50/AY50-1,0))</f>
        <v>0.66566714932928495</v>
      </c>
      <c r="BD50" s="289">
        <f t="shared" si="156"/>
        <v>-1133.1367473538642</v>
      </c>
      <c r="BE50" s="466">
        <v>-5410.8888230000002</v>
      </c>
      <c r="BF50" s="287">
        <f>(IFERROR(BE50/BB50-1,0))</f>
        <v>-2.0448775124626284E-3</v>
      </c>
      <c r="BG50" s="288">
        <f t="shared" si="150"/>
        <v>0</v>
      </c>
      <c r="BH50" s="467">
        <v>-4888.8070379999999</v>
      </c>
      <c r="BI50" s="287">
        <f>(IFERROR(BH50/BE50-1,0))</f>
        <v>-9.6487250445951411E-2</v>
      </c>
      <c r="BJ50" s="288">
        <f t="shared" si="1"/>
        <v>0</v>
      </c>
      <c r="BK50" s="467">
        <v>-14908.716833</v>
      </c>
      <c r="BL50" s="287">
        <f>(IFERROR(BK50/BH50-1,0))</f>
        <v>2.0495613177441183</v>
      </c>
      <c r="BM50" s="288">
        <f t="shared" si="2"/>
        <v>3.5800570510409733</v>
      </c>
      <c r="BN50" s="467">
        <v>-18253.885541</v>
      </c>
      <c r="BO50" s="287">
        <f>(IFERROR(BN50/BK50-1,0))</f>
        <v>0.22437670159483925</v>
      </c>
      <c r="BP50" s="289">
        <f t="shared" si="3"/>
        <v>2.3666481010493574</v>
      </c>
      <c r="BQ50" s="466">
        <v>2166.4939330000002</v>
      </c>
      <c r="BR50" s="287">
        <f>(IFERROR(BQ50/BN50-1,0))</f>
        <v>-1.1186867271701604</v>
      </c>
      <c r="BS50" s="288">
        <f t="shared" si="25"/>
        <v>-1.4003952037955225</v>
      </c>
      <c r="BT50" s="467">
        <v>3260.1293999999998</v>
      </c>
      <c r="BU50" s="287">
        <f>(IFERROR(BT50/BQ50-1,0))</f>
        <v>0.50479507481731756</v>
      </c>
      <c r="BV50" s="288">
        <f t="shared" si="26"/>
        <v>-1.666855814651607</v>
      </c>
      <c r="BW50" s="467">
        <v>3830.9977199999998</v>
      </c>
      <c r="BX50" s="287">
        <f>(IFERROR(BW50/BT50-1,0))</f>
        <v>0.17510603106735578</v>
      </c>
      <c r="BY50" s="288">
        <f t="shared" si="27"/>
        <v>-1.256963611484001</v>
      </c>
      <c r="BZ50" s="467">
        <v>4814.6642250000004</v>
      </c>
      <c r="CA50" s="287">
        <f>(IFERROR(BZ50/BW50-1,0))</f>
        <v>0.25676509799645619</v>
      </c>
      <c r="CB50" s="289">
        <f t="shared" si="28"/>
        <v>-1.2637610614017381</v>
      </c>
      <c r="CC50" s="466">
        <v>6028</v>
      </c>
      <c r="CD50" s="287">
        <f>(IFERROR(CC50/BZ50-1,0))</f>
        <v>0.25200838901699307</v>
      </c>
      <c r="CE50" s="288">
        <f t="shared" si="151"/>
        <v>1.7823756661311636</v>
      </c>
      <c r="CF50" s="467">
        <v>7585</v>
      </c>
      <c r="CG50" s="287">
        <f t="shared" si="30"/>
        <v>0.25829462508294632</v>
      </c>
      <c r="CH50" s="288">
        <f t="shared" si="31"/>
        <v>1.3265947664531352</v>
      </c>
      <c r="CI50" s="467">
        <v>-1920.633503</v>
      </c>
      <c r="CJ50" s="287">
        <f t="shared" si="32"/>
        <v>-1.2532147004614371</v>
      </c>
      <c r="CK50" s="288">
        <f t="shared" si="33"/>
        <v>-1.5013402887120486</v>
      </c>
      <c r="CL50" s="467">
        <v>-11307</v>
      </c>
      <c r="CM50" s="287">
        <f t="shared" si="34"/>
        <v>4.8871200478064347</v>
      </c>
      <c r="CN50" s="288">
        <f t="shared" si="35"/>
        <v>-3.3484503740237459</v>
      </c>
      <c r="CO50" s="466">
        <v>2847.4256220000002</v>
      </c>
      <c r="CP50" s="287">
        <f>(IFERROR(CO50/CL50-1,0))</f>
        <v>-1.2518285683205095</v>
      </c>
      <c r="CQ50" s="288">
        <f t="shared" si="152"/>
        <v>-0.52763344027869929</v>
      </c>
      <c r="CR50" s="466">
        <v>1638.424</v>
      </c>
      <c r="CS50" s="287">
        <f t="shared" si="37"/>
        <v>-0.42459462774336165</v>
      </c>
      <c r="CT50" s="288">
        <f t="shared" si="38"/>
        <v>-0.78399156229400135</v>
      </c>
      <c r="CU50" s="466">
        <v>0</v>
      </c>
      <c r="CV50" s="287">
        <f t="shared" si="39"/>
        <v>-1</v>
      </c>
      <c r="CW50" s="288">
        <f t="shared" si="40"/>
        <v>-1</v>
      </c>
      <c r="CX50" s="466">
        <v>0</v>
      </c>
      <c r="CY50" s="287">
        <f t="shared" si="41"/>
        <v>0</v>
      </c>
      <c r="CZ50" s="288">
        <f t="shared" si="42"/>
        <v>-1</v>
      </c>
    </row>
    <row r="51" spans="1:108" ht="16.2" customHeight="1">
      <c r="A51" s="141">
        <f t="shared" si="4"/>
        <v>50</v>
      </c>
      <c r="B51" s="23"/>
      <c r="C51" s="24" t="s">
        <v>143</v>
      </c>
      <c r="D51" s="636" t="s">
        <v>256</v>
      </c>
      <c r="E51" s="486">
        <v>-19.459337999999999</v>
      </c>
      <c r="F51" s="487">
        <v>7.6291419999999999</v>
      </c>
      <c r="G51" s="487">
        <v>-12.610791000000001</v>
      </c>
      <c r="H51" s="487">
        <v>-24.396335000000001</v>
      </c>
      <c r="I51" s="496">
        <v>-29.639191</v>
      </c>
      <c r="J51" s="287">
        <f t="shared" si="5"/>
        <v>0.2149034270926351</v>
      </c>
      <c r="K51" s="288">
        <f t="shared" si="6"/>
        <v>0.52313459995401712</v>
      </c>
      <c r="L51" s="134">
        <v>-44.921357999999998</v>
      </c>
      <c r="M51" s="287">
        <f t="shared" si="7"/>
        <v>0.51560675188469207</v>
      </c>
      <c r="N51" s="288">
        <f t="shared" si="8"/>
        <v>-6.8881271314651107</v>
      </c>
      <c r="O51" s="134">
        <v>-37.000903999999998</v>
      </c>
      <c r="P51" s="287">
        <f t="shared" si="9"/>
        <v>-0.1763182226147304</v>
      </c>
      <c r="Q51" s="288">
        <f t="shared" si="10"/>
        <v>1.934066863847002</v>
      </c>
      <c r="R51" s="134">
        <v>-37.639963999999999</v>
      </c>
      <c r="S51" s="287">
        <f t="shared" si="11"/>
        <v>1.7271469907870429E-2</v>
      </c>
      <c r="T51" s="289">
        <f t="shared" si="12"/>
        <v>0.54285321955121524</v>
      </c>
      <c r="U51" s="496">
        <v>-20.865745</v>
      </c>
      <c r="V51" s="287">
        <f>(IFERROR(U51/R51-1,0))</f>
        <v>-0.44564917756031863</v>
      </c>
      <c r="W51" s="288">
        <f t="shared" si="13"/>
        <v>-0.29600828173751437</v>
      </c>
      <c r="X51" s="134">
        <v>-19.432632999999999</v>
      </c>
      <c r="Y51" s="287">
        <f>(IFERROR(X51/U51-1,0))</f>
        <v>-6.8682522478828445E-2</v>
      </c>
      <c r="Z51" s="288">
        <f t="shared" si="14"/>
        <v>-0.56740771283005298</v>
      </c>
      <c r="AA51" s="134">
        <v>-5.0552130000000002</v>
      </c>
      <c r="AB51" s="287">
        <f>(IFERROR(AA51/X51-1,0))</f>
        <v>-0.73985959596931616</v>
      </c>
      <c r="AC51" s="288">
        <f t="shared" si="15"/>
        <v>-0.8633759596792554</v>
      </c>
      <c r="AD51" s="134">
        <v>-28.567205999999999</v>
      </c>
      <c r="AE51" s="287">
        <f>(IFERROR(AD51/AA51-1,0))</f>
        <v>4.6510390363373411</v>
      </c>
      <c r="AF51" s="289">
        <f t="shared" si="16"/>
        <v>-0.24104055997503082</v>
      </c>
      <c r="AG51" s="496">
        <v>-15.16616</v>
      </c>
      <c r="AH51" s="287">
        <f>(IFERROR(AG51/AD51-1,0))</f>
        <v>-0.46910593916674947</v>
      </c>
      <c r="AI51" s="288">
        <f t="shared" si="17"/>
        <v>-0.2731551161964263</v>
      </c>
      <c r="AJ51" s="134">
        <v>-12.134198</v>
      </c>
      <c r="AK51" s="287">
        <f>(IFERROR(AJ51/AG51-1,0))</f>
        <v>-0.19991626093882697</v>
      </c>
      <c r="AL51" s="288">
        <f t="shared" si="18"/>
        <v>-0.37557622788430167</v>
      </c>
      <c r="AM51" s="134">
        <v>11.725914</v>
      </c>
      <c r="AN51" s="287">
        <f>(IFERROR(AM51/AJ51-1,0))</f>
        <v>-1.9663526176184036</v>
      </c>
      <c r="AO51" s="288">
        <f t="shared" si="19"/>
        <v>-3.3195687303383652</v>
      </c>
      <c r="AP51" s="134">
        <v>22.859175</v>
      </c>
      <c r="AQ51" s="287">
        <f>(IFERROR(AP51/AM51-1,0))</f>
        <v>0.94945784183646587</v>
      </c>
      <c r="AR51" s="289">
        <f t="shared" si="20"/>
        <v>-1.8001893849892077</v>
      </c>
      <c r="AS51" s="496">
        <v>40.755913</v>
      </c>
      <c r="AT51" s="287">
        <f>(IFERROR(AS51/AP51-1,0))</f>
        <v>0.78291268166939521</v>
      </c>
      <c r="AU51" s="288">
        <f t="shared" si="153"/>
        <v>-3.6872928282439328</v>
      </c>
      <c r="AV51" s="134">
        <v>61.850673</v>
      </c>
      <c r="AW51" s="287">
        <f>(IFERROR(AV51/AS51-1,0))</f>
        <v>0.51758771788525504</v>
      </c>
      <c r="AX51" s="288">
        <f t="shared" si="154"/>
        <v>-6.0972196926405848</v>
      </c>
      <c r="AY51" s="134">
        <v>101.34120799999999</v>
      </c>
      <c r="AZ51" s="287">
        <f>(IFERROR(AY51/AV51-1,0))</f>
        <v>0.63848189655106902</v>
      </c>
      <c r="BA51" s="288">
        <f t="shared" si="155"/>
        <v>7.6424996806219117</v>
      </c>
      <c r="BB51" s="134">
        <v>38.081536999999997</v>
      </c>
      <c r="BC51" s="287">
        <f>(IFERROR(BB51/AY51-1,0))</f>
        <v>-0.62422456025983042</v>
      </c>
      <c r="BD51" s="289">
        <f t="shared" si="156"/>
        <v>0.66591913312707018</v>
      </c>
      <c r="BE51" s="466">
        <v>76.313284999999993</v>
      </c>
      <c r="BF51" s="287">
        <f>(IFERROR(BE51/BB51-1,0))</f>
        <v>1.0039444573888918</v>
      </c>
      <c r="BG51" s="288">
        <f t="shared" si="150"/>
        <v>0.87244695021308916</v>
      </c>
      <c r="BH51" s="467">
        <v>69.310653000000002</v>
      </c>
      <c r="BI51" s="287">
        <f>(IFERROR(BH51/BE51-1,0))</f>
        <v>-9.1761637570705989E-2</v>
      </c>
      <c r="BJ51" s="288">
        <f t="shared" si="1"/>
        <v>0.12061275388224146</v>
      </c>
      <c r="BK51" s="467">
        <v>84.654872999999995</v>
      </c>
      <c r="BL51" s="287">
        <f>(IFERROR(BK51/BH51-1,0))</f>
        <v>0.22138328432715815</v>
      </c>
      <c r="BM51" s="288">
        <f t="shared" si="2"/>
        <v>-0.16465498417978208</v>
      </c>
      <c r="BN51" s="467">
        <v>62.881940999999998</v>
      </c>
      <c r="BO51" s="287">
        <f>(IFERROR(BN51/BK51-1,0))</f>
        <v>-0.25719644042227785</v>
      </c>
      <c r="BP51" s="289">
        <f t="shared" si="3"/>
        <v>0.65124482764443048</v>
      </c>
      <c r="BQ51" s="466">
        <v>87.134159999999994</v>
      </c>
      <c r="BR51" s="287">
        <f>(IFERROR(BQ51/BN51-1,0))</f>
        <v>0.38567860047449876</v>
      </c>
      <c r="BS51" s="288">
        <f t="shared" si="25"/>
        <v>0.14179542919689547</v>
      </c>
      <c r="BT51" s="467">
        <v>108.75984596400001</v>
      </c>
      <c r="BU51" s="287">
        <f>(IFERROR(BT51/BQ51-1,0))</f>
        <v>0.24818837943695127</v>
      </c>
      <c r="BV51" s="288">
        <f t="shared" si="26"/>
        <v>0.56916493001443813</v>
      </c>
      <c r="BW51" s="467">
        <v>93.175074999999993</v>
      </c>
      <c r="BX51" s="287">
        <f>(IFERROR(BW51/BT51-1,0))</f>
        <v>-0.14329526514002822</v>
      </c>
      <c r="BY51" s="288">
        <f t="shared" si="27"/>
        <v>0.1006463266444213</v>
      </c>
      <c r="BZ51" s="467">
        <v>148.00737699999999</v>
      </c>
      <c r="CA51" s="287">
        <f>(IFERROR(BZ51/BW51-1,0))</f>
        <v>0.58848680293522704</v>
      </c>
      <c r="CB51" s="289">
        <f t="shared" si="28"/>
        <v>1.3537342303094619</v>
      </c>
      <c r="CC51" s="466">
        <v>152</v>
      </c>
      <c r="CD51" s="287">
        <f>(IFERROR(CC51/BZ51-1,0))</f>
        <v>2.697583783273183E-2</v>
      </c>
      <c r="CE51" s="288">
        <f t="shared" si="151"/>
        <v>0.74443639555370722</v>
      </c>
      <c r="CF51" s="467">
        <v>111</v>
      </c>
      <c r="CG51" s="287">
        <f t="shared" si="30"/>
        <v>-0.26973684210526316</v>
      </c>
      <c r="CH51" s="288">
        <f t="shared" si="31"/>
        <v>2.0597252746583417E-2</v>
      </c>
      <c r="CI51" s="467">
        <v>136.05682999999999</v>
      </c>
      <c r="CJ51" s="287">
        <f t="shared" si="32"/>
        <v>0.22573720720720702</v>
      </c>
      <c r="CK51" s="288">
        <f t="shared" si="33"/>
        <v>0.4602277486763493</v>
      </c>
      <c r="CL51" s="467">
        <v>176.4</v>
      </c>
      <c r="CM51" s="287">
        <f t="shared" si="34"/>
        <v>0.29651705099993886</v>
      </c>
      <c r="CN51" s="288">
        <f t="shared" si="35"/>
        <v>0.19183248548482834</v>
      </c>
      <c r="CO51" s="466">
        <v>510.57561600000002</v>
      </c>
      <c r="CP51" s="287">
        <f>(IFERROR(CO51/CL51-1,0))</f>
        <v>1.8944195918367348</v>
      </c>
      <c r="CQ51" s="288">
        <f t="shared" si="152"/>
        <v>2.3590501052631581</v>
      </c>
      <c r="CR51" s="466">
        <v>1068.7650000000001</v>
      </c>
      <c r="CS51" s="287">
        <f t="shared" si="37"/>
        <v>1.0932550762471194</v>
      </c>
      <c r="CT51" s="288">
        <f t="shared" si="38"/>
        <v>8.6285135135135143</v>
      </c>
      <c r="CU51" s="466">
        <v>0</v>
      </c>
      <c r="CV51" s="287">
        <f t="shared" si="39"/>
        <v>-1</v>
      </c>
      <c r="CW51" s="288">
        <f t="shared" si="40"/>
        <v>-1</v>
      </c>
      <c r="CX51" s="466">
        <v>0</v>
      </c>
      <c r="CY51" s="287">
        <f t="shared" si="41"/>
        <v>0</v>
      </c>
      <c r="CZ51" s="288">
        <f t="shared" si="42"/>
        <v>-1</v>
      </c>
    </row>
    <row r="52" spans="1:108" ht="16.2" customHeight="1">
      <c r="A52" s="141">
        <f t="shared" si="4"/>
        <v>51</v>
      </c>
      <c r="B52" s="23"/>
      <c r="C52" s="24" t="s">
        <v>144</v>
      </c>
      <c r="D52" s="636" t="s">
        <v>257</v>
      </c>
      <c r="E52" s="486">
        <v>12548.17022</v>
      </c>
      <c r="F52" s="487">
        <v>16398.090262999998</v>
      </c>
      <c r="G52" s="487">
        <v>19235.430006999999</v>
      </c>
      <c r="H52" s="487">
        <v>25470.489287</v>
      </c>
      <c r="I52" s="496">
        <v>30513.500233999999</v>
      </c>
      <c r="J52" s="287">
        <f t="shared" si="5"/>
        <v>0.19799427055270291</v>
      </c>
      <c r="K52" s="288">
        <f t="shared" si="6"/>
        <v>1.4317091415739496</v>
      </c>
      <c r="L52" s="134">
        <v>38156.172624999999</v>
      </c>
      <c r="M52" s="287">
        <f t="shared" si="7"/>
        <v>0.25046855760205666</v>
      </c>
      <c r="N52" s="288">
        <f t="shared" si="8"/>
        <v>1.3268668493119637</v>
      </c>
      <c r="O52" s="134">
        <v>47667.775866999997</v>
      </c>
      <c r="P52" s="287">
        <f t="shared" si="9"/>
        <v>0.24928085254986954</v>
      </c>
      <c r="Q52" s="288">
        <f t="shared" si="10"/>
        <v>1.4781237461108554</v>
      </c>
      <c r="R52" s="134">
        <v>57996.804024999998</v>
      </c>
      <c r="S52" s="287">
        <f t="shared" si="11"/>
        <v>0.21668785610680663</v>
      </c>
      <c r="T52" s="289">
        <f t="shared" si="12"/>
        <v>1.2770196273615069</v>
      </c>
      <c r="U52" s="496">
        <v>66439.928461000003</v>
      </c>
      <c r="V52" s="287">
        <f>(IFERROR(U52/R52-1,0))</f>
        <v>0.14557913281498291</v>
      </c>
      <c r="W52" s="288">
        <f t="shared" si="13"/>
        <v>1.1773945287000731</v>
      </c>
      <c r="X52" s="134">
        <v>71159.870613000006</v>
      </c>
      <c r="Y52" s="287">
        <f>(IFERROR(X52/U52-1,0))</f>
        <v>7.1040747052739439E-2</v>
      </c>
      <c r="Z52" s="288">
        <f t="shared" si="14"/>
        <v>0.86496353584415653</v>
      </c>
      <c r="AA52" s="134">
        <v>79986.788929999995</v>
      </c>
      <c r="AB52" s="287">
        <f>(IFERROR(AA52/X52-1,0))</f>
        <v>0.12404348463482773</v>
      </c>
      <c r="AC52" s="288">
        <f t="shared" si="15"/>
        <v>0.67800547592517701</v>
      </c>
      <c r="AD52" s="134">
        <v>93200.865967999998</v>
      </c>
      <c r="AE52" s="287">
        <f>(IFERROR(AD52/AA52-1,0))</f>
        <v>0.16520324437032019</v>
      </c>
      <c r="AF52" s="289">
        <f t="shared" si="16"/>
        <v>0.60700003275740855</v>
      </c>
      <c r="AG52" s="496">
        <v>98880.569956000007</v>
      </c>
      <c r="AH52" s="287">
        <f>(IFERROR(AG52/AD52-1,0))</f>
        <v>6.0940463685714041E-2</v>
      </c>
      <c r="AI52" s="288">
        <f t="shared" si="17"/>
        <v>0.48827026528245798</v>
      </c>
      <c r="AJ52" s="134">
        <v>110919.733731</v>
      </c>
      <c r="AK52" s="287">
        <f>(IFERROR(AJ52/AG52-1,0))</f>
        <v>0.12175459526939614</v>
      </c>
      <c r="AL52" s="288">
        <f t="shared" si="18"/>
        <v>0.55873995800571863</v>
      </c>
      <c r="AM52" s="134">
        <v>123443.20976500001</v>
      </c>
      <c r="AN52" s="287">
        <f>(IFERROR(AM52/AJ52-1,0))</f>
        <v>0.1129057527704822</v>
      </c>
      <c r="AO52" s="288">
        <f t="shared" si="19"/>
        <v>0.54329497928752546</v>
      </c>
      <c r="AP52" s="134">
        <v>133122.99226999999</v>
      </c>
      <c r="AQ52" s="287">
        <f>(IFERROR(AP52/AM52-1,0))</f>
        <v>7.8414863996387307E-2</v>
      </c>
      <c r="AR52" s="289">
        <f t="shared" si="20"/>
        <v>0.42834501468802899</v>
      </c>
      <c r="AS52" s="496">
        <v>141668.24279799999</v>
      </c>
      <c r="AT52" s="287">
        <f>(IFERROR(AS52/AP52-1,0))</f>
        <v>6.4190643421449867E-2</v>
      </c>
      <c r="AU52" s="288">
        <f t="shared" si="153"/>
        <v>0.43272073432666991</v>
      </c>
      <c r="AV52" s="134">
        <v>155476.23722099999</v>
      </c>
      <c r="AW52" s="287">
        <f>(IFERROR(AV52/AS52-1,0))</f>
        <v>9.7467111543751983E-2</v>
      </c>
      <c r="AX52" s="288">
        <f t="shared" si="154"/>
        <v>0.40170041877360974</v>
      </c>
      <c r="AY52" s="134">
        <v>174192.45452100001</v>
      </c>
      <c r="AZ52" s="287">
        <f>(IFERROR(AY52/AV52-1,0))</f>
        <v>0.12037992193878511</v>
      </c>
      <c r="BA52" s="288">
        <f t="shared" si="155"/>
        <v>0.41111410544664073</v>
      </c>
      <c r="BB52" s="134">
        <v>204230.32649400001</v>
      </c>
      <c r="BC52" s="287">
        <f>(IFERROR(BB52/AY52-1,0))</f>
        <v>0.1724407182595773</v>
      </c>
      <c r="BD52" s="289">
        <f t="shared" si="156"/>
        <v>0.53414765557387822</v>
      </c>
      <c r="BE52" s="466">
        <v>215534.053396</v>
      </c>
      <c r="BF52" s="287">
        <f>(IFERROR(BE52/BB52-1,0))</f>
        <v>5.5347935324052244E-2</v>
      </c>
      <c r="BG52" s="288">
        <f t="shared" si="150"/>
        <v>0.52139992096409915</v>
      </c>
      <c r="BH52" s="467">
        <v>234092.575984</v>
      </c>
      <c r="BI52" s="287">
        <f>(IFERROR(BH52/BE52-1,0))</f>
        <v>8.6104827963785713E-2</v>
      </c>
      <c r="BJ52" s="288">
        <f t="shared" si="1"/>
        <v>0.50564858121213518</v>
      </c>
      <c r="BK52" s="467">
        <v>255285.99824099999</v>
      </c>
      <c r="BL52" s="287">
        <f>(IFERROR(BK52/BH52-1,0))</f>
        <v>9.0534363031011145E-2</v>
      </c>
      <c r="BM52" s="288">
        <f t="shared" si="2"/>
        <v>0.46553993364978763</v>
      </c>
      <c r="BN52" s="467">
        <v>270984.07803400001</v>
      </c>
      <c r="BO52" s="287">
        <f>(IFERROR(BN52/BK52-1,0))</f>
        <v>6.1492130007774204E-2</v>
      </c>
      <c r="BP52" s="289">
        <f t="shared" si="3"/>
        <v>0.32685523587977583</v>
      </c>
      <c r="BQ52" s="466">
        <v>264274.108183</v>
      </c>
      <c r="BR52" s="287">
        <f>(IFERROR(BQ52/BN52-1,0))</f>
        <v>-2.4761491153580284E-2</v>
      </c>
      <c r="BS52" s="288">
        <f t="shared" si="25"/>
        <v>0.22613621383276294</v>
      </c>
      <c r="BT52" s="467">
        <v>290854.80744496803</v>
      </c>
      <c r="BU52" s="287">
        <f>(IFERROR(BT52/BQ52-1,0))</f>
        <v>0.10058003579965491</v>
      </c>
      <c r="BV52" s="288">
        <f t="shared" si="26"/>
        <v>0.24247770875419672</v>
      </c>
      <c r="BW52" s="467">
        <v>307343.471097</v>
      </c>
      <c r="BX52" s="287">
        <f>(IFERROR(BW52/BT52-1,0))</f>
        <v>5.6690359691413228E-2</v>
      </c>
      <c r="BY52" s="288">
        <f t="shared" si="27"/>
        <v>0.20391824547641546</v>
      </c>
      <c r="BZ52" s="467">
        <v>336059.467641</v>
      </c>
      <c r="CA52" s="287">
        <f>(IFERROR(BZ52/BW52-1,0))</f>
        <v>9.3432915433355745E-2</v>
      </c>
      <c r="CB52" s="289">
        <f t="shared" si="28"/>
        <v>0.24014469809121053</v>
      </c>
      <c r="CC52" s="466">
        <v>349042</v>
      </c>
      <c r="CD52" s="287">
        <f>(IFERROR(CC52/BZ52-1,0))</f>
        <v>3.8631651862487626E-2</v>
      </c>
      <c r="CE52" s="288">
        <f t="shared" si="151"/>
        <v>0.32075746050120579</v>
      </c>
      <c r="CF52" s="467">
        <v>375513</v>
      </c>
      <c r="CG52" s="287">
        <f t="shared" si="30"/>
        <v>7.5839010778072646E-2</v>
      </c>
      <c r="CH52" s="288">
        <f t="shared" si="31"/>
        <v>0.29106684980976283</v>
      </c>
      <c r="CI52" s="467">
        <v>408520.81842281908</v>
      </c>
      <c r="CJ52" s="287">
        <f t="shared" si="32"/>
        <v>8.79006011052057E-2</v>
      </c>
      <c r="CK52" s="288">
        <f t="shared" si="33"/>
        <v>0.32919959862718784</v>
      </c>
      <c r="CL52" s="467">
        <v>547533.44400000002</v>
      </c>
      <c r="CM52" s="287">
        <f t="shared" si="34"/>
        <v>0.34028284314583668</v>
      </c>
      <c r="CN52" s="288">
        <f t="shared" si="35"/>
        <v>0.62927546080894792</v>
      </c>
      <c r="CO52" s="466">
        <v>501884.08558299998</v>
      </c>
      <c r="CP52" s="287">
        <f>(IFERROR(CO52/CL52-1,0))</f>
        <v>-8.3372730775145176E-2</v>
      </c>
      <c r="CQ52" s="288">
        <f t="shared" si="152"/>
        <v>0.43789024124030917</v>
      </c>
      <c r="CR52" s="466">
        <v>530249.69299999997</v>
      </c>
      <c r="CS52" s="287">
        <f t="shared" si="37"/>
        <v>5.6518244415042274E-2</v>
      </c>
      <c r="CT52" s="288">
        <f t="shared" si="38"/>
        <v>0.41206747303022784</v>
      </c>
      <c r="CU52" s="466">
        <v>0</v>
      </c>
      <c r="CV52" s="287">
        <f t="shared" si="39"/>
        <v>-1</v>
      </c>
      <c r="CW52" s="288">
        <f t="shared" si="40"/>
        <v>-1</v>
      </c>
      <c r="CX52" s="466">
        <v>0</v>
      </c>
      <c r="CY52" s="287">
        <f t="shared" si="41"/>
        <v>0</v>
      </c>
      <c r="CZ52" s="288">
        <f t="shared" si="42"/>
        <v>-1</v>
      </c>
    </row>
    <row r="53" spans="1:108" s="22" customFormat="1" ht="16.2" customHeight="1">
      <c r="A53" s="141">
        <f t="shared" si="4"/>
        <v>52</v>
      </c>
      <c r="B53" s="20" t="s">
        <v>28</v>
      </c>
      <c r="C53" s="21"/>
      <c r="D53" s="635" t="s">
        <v>258</v>
      </c>
      <c r="E53" s="489">
        <v>0</v>
      </c>
      <c r="F53" s="490">
        <v>0</v>
      </c>
      <c r="G53" s="490">
        <v>0</v>
      </c>
      <c r="H53" s="490">
        <v>0</v>
      </c>
      <c r="I53" s="495">
        <v>0</v>
      </c>
      <c r="J53" s="290">
        <f t="shared" si="5"/>
        <v>0</v>
      </c>
      <c r="K53" s="291">
        <f t="shared" si="6"/>
        <v>0</v>
      </c>
      <c r="L53" s="135">
        <v>0</v>
      </c>
      <c r="M53" s="290">
        <f t="shared" si="7"/>
        <v>0</v>
      </c>
      <c r="N53" s="291">
        <f t="shared" si="8"/>
        <v>0</v>
      </c>
      <c r="O53" s="135">
        <v>0</v>
      </c>
      <c r="P53" s="290">
        <f t="shared" si="9"/>
        <v>0</v>
      </c>
      <c r="Q53" s="291">
        <f t="shared" si="10"/>
        <v>0</v>
      </c>
      <c r="R53" s="135">
        <v>0</v>
      </c>
      <c r="S53" s="290">
        <f t="shared" si="11"/>
        <v>0</v>
      </c>
      <c r="T53" s="292">
        <f t="shared" si="12"/>
        <v>0</v>
      </c>
      <c r="U53" s="495">
        <v>0</v>
      </c>
      <c r="V53" s="290">
        <v>0</v>
      </c>
      <c r="W53" s="291">
        <f t="shared" si="13"/>
        <v>0</v>
      </c>
      <c r="X53" s="135">
        <v>0</v>
      </c>
      <c r="Y53" s="290">
        <v>0</v>
      </c>
      <c r="Z53" s="291">
        <f t="shared" si="14"/>
        <v>0</v>
      </c>
      <c r="AA53" s="135">
        <v>0</v>
      </c>
      <c r="AB53" s="290">
        <v>0</v>
      </c>
      <c r="AC53" s="291">
        <f t="shared" si="15"/>
        <v>0</v>
      </c>
      <c r="AD53" s="135">
        <v>0</v>
      </c>
      <c r="AE53" s="290">
        <v>0</v>
      </c>
      <c r="AF53" s="292">
        <f t="shared" si="16"/>
        <v>0</v>
      </c>
      <c r="AG53" s="495">
        <v>0</v>
      </c>
      <c r="AH53" s="290">
        <v>0</v>
      </c>
      <c r="AI53" s="291">
        <f t="shared" si="17"/>
        <v>0</v>
      </c>
      <c r="AJ53" s="135">
        <v>0</v>
      </c>
      <c r="AK53" s="290">
        <v>0</v>
      </c>
      <c r="AL53" s="291">
        <f t="shared" si="18"/>
        <v>0</v>
      </c>
      <c r="AM53" s="135">
        <v>0</v>
      </c>
      <c r="AN53" s="290">
        <v>0</v>
      </c>
      <c r="AO53" s="291">
        <f t="shared" si="19"/>
        <v>0</v>
      </c>
      <c r="AP53" s="135">
        <v>0</v>
      </c>
      <c r="AQ53" s="290">
        <v>0</v>
      </c>
      <c r="AR53" s="292">
        <f t="shared" si="20"/>
        <v>0</v>
      </c>
      <c r="AS53" s="495">
        <v>0</v>
      </c>
      <c r="AT53" s="290">
        <v>0</v>
      </c>
      <c r="AU53" s="291">
        <f t="shared" si="153"/>
        <v>0</v>
      </c>
      <c r="AV53" s="135">
        <v>0</v>
      </c>
      <c r="AW53" s="290">
        <v>0</v>
      </c>
      <c r="AX53" s="291">
        <f t="shared" si="154"/>
        <v>0</v>
      </c>
      <c r="AY53" s="135">
        <v>0</v>
      </c>
      <c r="AZ53" s="290">
        <v>0</v>
      </c>
      <c r="BA53" s="291">
        <f t="shared" si="155"/>
        <v>0</v>
      </c>
      <c r="BB53" s="135">
        <v>0</v>
      </c>
      <c r="BC53" s="290">
        <v>0</v>
      </c>
      <c r="BD53" s="292">
        <f t="shared" si="156"/>
        <v>0</v>
      </c>
      <c r="BE53" s="464">
        <v>0</v>
      </c>
      <c r="BF53" s="290">
        <v>0</v>
      </c>
      <c r="BG53" s="291">
        <f t="shared" si="150"/>
        <v>0</v>
      </c>
      <c r="BH53" s="465">
        <v>0</v>
      </c>
      <c r="BI53" s="290">
        <v>0</v>
      </c>
      <c r="BJ53" s="291">
        <f t="shared" si="1"/>
        <v>0</v>
      </c>
      <c r="BK53" s="465">
        <v>0</v>
      </c>
      <c r="BL53" s="290">
        <v>0</v>
      </c>
      <c r="BM53" s="291">
        <f t="shared" si="2"/>
        <v>0</v>
      </c>
      <c r="BN53" s="465">
        <v>0</v>
      </c>
      <c r="BO53" s="290">
        <v>0</v>
      </c>
      <c r="BP53" s="292">
        <f t="shared" si="3"/>
        <v>0</v>
      </c>
      <c r="BQ53" s="464">
        <v>0</v>
      </c>
      <c r="BR53" s="290">
        <v>0</v>
      </c>
      <c r="BS53" s="291">
        <f t="shared" si="25"/>
        <v>0</v>
      </c>
      <c r="BT53" s="465">
        <v>0</v>
      </c>
      <c r="BU53" s="290">
        <v>0</v>
      </c>
      <c r="BV53" s="291">
        <f t="shared" si="26"/>
        <v>0</v>
      </c>
      <c r="BW53" s="465">
        <v>0</v>
      </c>
      <c r="BX53" s="290">
        <v>0</v>
      </c>
      <c r="BY53" s="291">
        <f t="shared" si="27"/>
        <v>0</v>
      </c>
      <c r="BZ53" s="465">
        <v>-1320.893714</v>
      </c>
      <c r="CA53" s="290">
        <v>0</v>
      </c>
      <c r="CB53" s="292">
        <f t="shared" si="28"/>
        <v>0</v>
      </c>
      <c r="CC53" s="464">
        <v>-1412.5163070000001</v>
      </c>
      <c r="CD53" s="290">
        <v>0</v>
      </c>
      <c r="CE53" s="291">
        <f t="shared" si="151"/>
        <v>0</v>
      </c>
      <c r="CF53" s="465">
        <v>-1412.1658050000001</v>
      </c>
      <c r="CG53" s="284">
        <f t="shared" ref="CG53" si="174">IFERROR(CF53/CC53-1,0)</f>
        <v>-2.4814014412644081E-4</v>
      </c>
      <c r="CH53" s="285">
        <f t="shared" ref="CH53" si="175">IFERROR(CF53/BT53-1,)</f>
        <v>0</v>
      </c>
      <c r="CI53" s="465">
        <v>-1324.4921300000001</v>
      </c>
      <c r="CJ53" s="284">
        <f t="shared" si="32"/>
        <v>-6.2084547501134235E-2</v>
      </c>
      <c r="CK53" s="285">
        <f t="shared" si="33"/>
        <v>0</v>
      </c>
      <c r="CL53" s="465">
        <v>-1299.4000000000001</v>
      </c>
      <c r="CM53" s="284">
        <f t="shared" si="34"/>
        <v>-1.8944718078468314E-2</v>
      </c>
      <c r="CN53" s="285">
        <f t="shared" si="35"/>
        <v>-1.6272099543052199E-2</v>
      </c>
      <c r="CO53" s="464">
        <v>7477.605544</v>
      </c>
      <c r="CP53" s="284">
        <f t="shared" ref="CP53" si="176">IFERROR(CO53/CL53-1,0)</f>
        <v>-6.7546602616592271</v>
      </c>
      <c r="CQ53" s="285">
        <f t="shared" si="152"/>
        <v>-6.293818915182265</v>
      </c>
      <c r="CR53" s="464">
        <v>5569.6629999999996</v>
      </c>
      <c r="CS53" s="284">
        <f t="shared" ref="CS53" si="177">IFERROR(CR53/CO53-1,0)</f>
        <v>-0.25515421116736037</v>
      </c>
      <c r="CT53" s="285">
        <f t="shared" ref="CT53" si="178">IFERROR(CR53/CF53-1,)</f>
        <v>-4.9440574047889507</v>
      </c>
      <c r="CU53" s="464">
        <v>0</v>
      </c>
      <c r="CV53" s="290">
        <f t="shared" si="39"/>
        <v>-1</v>
      </c>
      <c r="CW53" s="291">
        <f t="shared" si="40"/>
        <v>-1</v>
      </c>
      <c r="CX53" s="464">
        <v>0</v>
      </c>
      <c r="CY53" s="290">
        <f t="shared" si="41"/>
        <v>0</v>
      </c>
      <c r="CZ53" s="291">
        <f t="shared" si="42"/>
        <v>-1</v>
      </c>
      <c r="DB53" s="8"/>
    </row>
    <row r="54" spans="1:108" s="14" customFormat="1" ht="16.2" customHeight="1" thickBot="1">
      <c r="A54" s="141">
        <f t="shared" si="4"/>
        <v>53</v>
      </c>
      <c r="B54" s="26" t="s">
        <v>116</v>
      </c>
      <c r="C54" s="27"/>
      <c r="D54" s="637" t="s">
        <v>211</v>
      </c>
      <c r="E54" s="491">
        <f>E27+E46</f>
        <v>65258.445512000006</v>
      </c>
      <c r="F54" s="492">
        <f>F27+F46</f>
        <v>67506.482050999999</v>
      </c>
      <c r="G54" s="492">
        <f>G27+G46</f>
        <v>65963.596541999999</v>
      </c>
      <c r="H54" s="492">
        <f>H27+H46</f>
        <v>75677.204371</v>
      </c>
      <c r="I54" s="497">
        <f>I27+I46</f>
        <v>82848.05668400001</v>
      </c>
      <c r="J54" s="293">
        <f t="shared" si="5"/>
        <v>9.4755777153786136E-2</v>
      </c>
      <c r="K54" s="294">
        <f t="shared" si="6"/>
        <v>0.26953769790249682</v>
      </c>
      <c r="L54" s="295">
        <f>L27+L46</f>
        <v>87242.541884999999</v>
      </c>
      <c r="M54" s="293">
        <f t="shared" si="7"/>
        <v>5.3042707057830984E-2</v>
      </c>
      <c r="N54" s="294">
        <f t="shared" si="8"/>
        <v>0.2923579963638121</v>
      </c>
      <c r="O54" s="295">
        <f>O27+O46</f>
        <v>100126.03049199999</v>
      </c>
      <c r="P54" s="293">
        <f t="shared" si="9"/>
        <v>0.14767438371961417</v>
      </c>
      <c r="Q54" s="294">
        <f t="shared" si="10"/>
        <v>0.51789829149549571</v>
      </c>
      <c r="R54" s="295">
        <f>R27+R46</f>
        <v>113657.441301</v>
      </c>
      <c r="S54" s="293">
        <f t="shared" si="11"/>
        <v>0.13514378571195995</v>
      </c>
      <c r="T54" s="296">
        <f t="shared" si="12"/>
        <v>0.50187156417414225</v>
      </c>
      <c r="U54" s="497">
        <f>U27+U46</f>
        <v>125213.273652</v>
      </c>
      <c r="V54" s="293">
        <f>IFERROR(U54/R54-1,0)</f>
        <v>0.10167246612913439</v>
      </c>
      <c r="W54" s="294">
        <f t="shared" si="13"/>
        <v>0.51136041886401618</v>
      </c>
      <c r="X54" s="295">
        <f>X27+X46</f>
        <v>123101.55938000001</v>
      </c>
      <c r="Y54" s="293">
        <f>IFERROR(X54/U54-1,0)</f>
        <v>-1.6864939398270162E-2</v>
      </c>
      <c r="Z54" s="294">
        <f t="shared" si="14"/>
        <v>0.41102673902220865</v>
      </c>
      <c r="AA54" s="295">
        <f>AA27+AA46</f>
        <v>123711.197776</v>
      </c>
      <c r="AB54" s="293">
        <f>IFERROR(AA54/X54-1,0)</f>
        <v>4.9523206616588489E-3</v>
      </c>
      <c r="AC54" s="294">
        <f t="shared" si="15"/>
        <v>0.23555480196415512</v>
      </c>
      <c r="AD54" s="295">
        <f>AD27+AD46</f>
        <v>137526.11636800002</v>
      </c>
      <c r="AE54" s="293">
        <f>IFERROR(AD54/AA54-1,0)</f>
        <v>0.11167072051969185</v>
      </c>
      <c r="AF54" s="296">
        <f t="shared" si="16"/>
        <v>0.21000538806595515</v>
      </c>
      <c r="AG54" s="497">
        <f>AG27+AG46</f>
        <v>148752.202728</v>
      </c>
      <c r="AH54" s="293">
        <f>IFERROR(AG54/AD54-1,0)</f>
        <v>8.1628760096450259E-2</v>
      </c>
      <c r="AI54" s="294">
        <f t="shared" si="17"/>
        <v>0.18799068492866633</v>
      </c>
      <c r="AJ54" s="295">
        <f>AJ27+AJ46</f>
        <v>159020.246201</v>
      </c>
      <c r="AK54" s="293">
        <f>IFERROR(AJ54/AG54-1,0)</f>
        <v>6.90278415021226E-2</v>
      </c>
      <c r="AL54" s="294">
        <f t="shared" si="18"/>
        <v>0.29178092464388072</v>
      </c>
      <c r="AM54" s="295">
        <f>AM27+AM46</f>
        <v>173655.54205699998</v>
      </c>
      <c r="AN54" s="293">
        <f>IFERROR(AM54/AJ54-1,0)</f>
        <v>9.2034166753214075E-2</v>
      </c>
      <c r="AO54" s="294">
        <f t="shared" si="19"/>
        <v>0.40371724774205675</v>
      </c>
      <c r="AP54" s="295">
        <f>AP27+AP46</f>
        <v>216379.20533599998</v>
      </c>
      <c r="AQ54" s="293">
        <f>IFERROR(AP54/AM54-1,0)</f>
        <v>0.24602533712961816</v>
      </c>
      <c r="AR54" s="296">
        <f t="shared" si="20"/>
        <v>0.57336810673109162</v>
      </c>
      <c r="AS54" s="497">
        <f>AS27+AS46</f>
        <v>304075.81478800002</v>
      </c>
      <c r="AT54" s="293">
        <f>IFERROR(AS54/AP54-1,0)</f>
        <v>0.40529130013127723</v>
      </c>
      <c r="AU54" s="294">
        <f t="shared" si="153"/>
        <v>1.044176887545095</v>
      </c>
      <c r="AV54" s="295">
        <f>AV27+AV46</f>
        <v>312182.549673</v>
      </c>
      <c r="AW54" s="293">
        <f>IFERROR(AV54/AS54-1,0)</f>
        <v>2.6660242251268729E-2</v>
      </c>
      <c r="AX54" s="294">
        <f t="shared" si="154"/>
        <v>0.96316228361515921</v>
      </c>
      <c r="AY54" s="295">
        <f>AY27+AY46</f>
        <v>334294.15941900003</v>
      </c>
      <c r="AZ54" s="293">
        <f>IFERROR(AY54/AV54-1,0)</f>
        <v>7.0829102296592561E-2</v>
      </c>
      <c r="BA54" s="294">
        <f t="shared" si="155"/>
        <v>0.92504169725416929</v>
      </c>
      <c r="BB54" s="295">
        <f>BB27+BB46</f>
        <v>331411.10829900001</v>
      </c>
      <c r="BC54" s="293">
        <f>IFERROR(BB54/AY54-1,0)</f>
        <v>-8.6242940200054186E-3</v>
      </c>
      <c r="BD54" s="296">
        <f t="shared" si="156"/>
        <v>0.5316218015699572</v>
      </c>
      <c r="BE54" s="468">
        <f>BE27+BE46</f>
        <v>352378.25723500003</v>
      </c>
      <c r="BF54" s="293">
        <f>IFERROR(BE54/BB54-1,0)</f>
        <v>6.3266282906496274E-2</v>
      </c>
      <c r="BG54" s="294">
        <f t="shared" si="150"/>
        <v>0.15884999759246288</v>
      </c>
      <c r="BH54" s="469">
        <f>BH27+BH46</f>
        <v>359536.76952600002</v>
      </c>
      <c r="BI54" s="293">
        <f>IFERROR(BH54/BE54-1,0)</f>
        <v>2.0314852417883333E-2</v>
      </c>
      <c r="BJ54" s="294">
        <f t="shared" si="1"/>
        <v>0.15168759401382892</v>
      </c>
      <c r="BK54" s="469">
        <f>BK27+BK46</f>
        <v>363110.049245</v>
      </c>
      <c r="BL54" s="293">
        <f>IFERROR(BK54/BH54-1,0)</f>
        <v>9.9385654594128514E-3</v>
      </c>
      <c r="BM54" s="294">
        <f t="shared" si="2"/>
        <v>8.6199202152025922E-2</v>
      </c>
      <c r="BN54" s="469">
        <f>BN27+BN46</f>
        <v>375443.02175399999</v>
      </c>
      <c r="BO54" s="293">
        <f>IFERROR(BN54/BK54-1,0)</f>
        <v>3.3964833897170976E-2</v>
      </c>
      <c r="BP54" s="296">
        <f t="shared" si="3"/>
        <v>0.13286191184416873</v>
      </c>
      <c r="BQ54" s="468">
        <f>BQ27+BQ46</f>
        <v>402862.55731200002</v>
      </c>
      <c r="BR54" s="293">
        <f>IFERROR(BQ54/BN54-1,0)</f>
        <v>7.303248154647024E-2</v>
      </c>
      <c r="BS54" s="294">
        <f t="shared" si="25"/>
        <v>0.14326735273945168</v>
      </c>
      <c r="BT54" s="469">
        <f>BT27+BT46</f>
        <v>418525.08781293203</v>
      </c>
      <c r="BU54" s="293">
        <f>IFERROR(BT54/BQ54-1,0)</f>
        <v>3.8878099283875756E-2</v>
      </c>
      <c r="BV54" s="294">
        <f t="shared" si="26"/>
        <v>0.16406755382683125</v>
      </c>
      <c r="BW54" s="469">
        <f>BW27+BW46</f>
        <v>433669.19069299998</v>
      </c>
      <c r="BX54" s="293">
        <f>IFERROR(BW54/BT54-1,0)</f>
        <v>3.6184456609771765E-2</v>
      </c>
      <c r="BY54" s="294">
        <f t="shared" si="27"/>
        <v>0.19431888925880947</v>
      </c>
      <c r="BZ54" s="469">
        <f>BZ27+BZ46</f>
        <v>608378.81883100001</v>
      </c>
      <c r="CA54" s="293">
        <f>IFERROR(BZ54/BW54-1,0)</f>
        <v>0.40286382313397784</v>
      </c>
      <c r="CB54" s="296">
        <f t="shared" si="28"/>
        <v>0.62042915590431624</v>
      </c>
      <c r="CC54" s="468">
        <f>CC27+CC46</f>
        <v>631904.10569300002</v>
      </c>
      <c r="CD54" s="293">
        <f>IFERROR(CC54/BZ54-1,0)</f>
        <v>3.8668813137189506E-2</v>
      </c>
      <c r="CE54" s="294">
        <f t="shared" si="151"/>
        <v>0.56853520940050273</v>
      </c>
      <c r="CF54" s="469">
        <f>CF27+CF46</f>
        <v>626554.50206500001</v>
      </c>
      <c r="CG54" s="293">
        <f t="shared" si="30"/>
        <v>-8.4658472382185268E-3</v>
      </c>
      <c r="CH54" s="294">
        <f t="shared" si="31"/>
        <v>0.49705363025943816</v>
      </c>
      <c r="CI54" s="469">
        <f>CI27+CI46</f>
        <v>654403.55809181905</v>
      </c>
      <c r="CJ54" s="293">
        <f t="shared" si="32"/>
        <v>4.4447938583210389E-2</v>
      </c>
      <c r="CK54" s="294">
        <f t="shared" si="33"/>
        <v>0.50899250427748233</v>
      </c>
      <c r="CL54" s="469">
        <f>CL27+CL46</f>
        <v>704649.68099999998</v>
      </c>
      <c r="CM54" s="293">
        <f t="shared" si="34"/>
        <v>7.6781555183920602E-2</v>
      </c>
      <c r="CN54" s="294">
        <f t="shared" si="35"/>
        <v>0.1582416402234128</v>
      </c>
      <c r="CO54" s="468">
        <f>CO27+CO46</f>
        <v>799840.17994199996</v>
      </c>
      <c r="CP54" s="293">
        <f>IFERROR(CO54/CL54-1,0)</f>
        <v>0.13508911095639875</v>
      </c>
      <c r="CQ54" s="294">
        <f t="shared" si="152"/>
        <v>0.26576196093049109</v>
      </c>
      <c r="CR54" s="468">
        <f>CR27+CR46</f>
        <v>774744.63787199988</v>
      </c>
      <c r="CS54" s="293">
        <f t="shared" si="37"/>
        <v>-3.1375695669377146E-2</v>
      </c>
      <c r="CT54" s="294">
        <f t="shared" si="38"/>
        <v>0.23651595402889036</v>
      </c>
      <c r="CU54" s="468">
        <f>CU27+CU46</f>
        <v>0</v>
      </c>
      <c r="CV54" s="293">
        <f t="shared" si="39"/>
        <v>-1</v>
      </c>
      <c r="CW54" s="294">
        <f t="shared" si="40"/>
        <v>-1</v>
      </c>
      <c r="CX54" s="468">
        <f>CX27+CX46</f>
        <v>0</v>
      </c>
      <c r="CY54" s="293">
        <f t="shared" si="41"/>
        <v>0</v>
      </c>
      <c r="CZ54" s="294">
        <f t="shared" si="42"/>
        <v>-1</v>
      </c>
    </row>
    <row r="55" spans="1:108" ht="16.2" customHeight="1">
      <c r="A55" s="478"/>
      <c r="E55" s="274" t="b">
        <f>ROUND(E54,0)=ROUND(E3,0)</f>
        <v>1</v>
      </c>
      <c r="F55" s="274" t="b">
        <f>ROUND(F54,0)=ROUND(F3,0)</f>
        <v>1</v>
      </c>
      <c r="G55" s="274" t="b">
        <f>ROUND(G54,0)=ROUND(G3,0)</f>
        <v>1</v>
      </c>
      <c r="H55" s="274" t="b">
        <f>ROUND(H54,0)=ROUND(H3,0)</f>
        <v>1</v>
      </c>
      <c r="I55" s="274" t="b">
        <f>ROUND(I54,0)=ROUND(I3,0)</f>
        <v>1</v>
      </c>
      <c r="L55" s="274" t="b">
        <f>ROUND(L54,0)=ROUND(L3,0)</f>
        <v>1</v>
      </c>
      <c r="O55" s="274" t="b">
        <f>ROUND(O54,0)=ROUND(O3,0)</f>
        <v>1</v>
      </c>
      <c r="R55" s="274" t="b">
        <f>ROUND(R54,0)=ROUND(R3,0)</f>
        <v>1</v>
      </c>
      <c r="U55" s="274" t="b">
        <f>ROUND(U54,0)=ROUND(U3,0)</f>
        <v>1</v>
      </c>
      <c r="X55" s="274" t="b">
        <f>ROUND(X54,0)=ROUND(X3,0)</f>
        <v>1</v>
      </c>
      <c r="AA55" s="274" t="b">
        <f>ROUND(AA54,0)=ROUND(AA3,0)</f>
        <v>1</v>
      </c>
      <c r="AD55" s="274" t="b">
        <f>ROUND(AD54,0)=ROUND(AD3,0)</f>
        <v>1</v>
      </c>
      <c r="AG55" s="274" t="b">
        <f>ROUND(AG54,0)=ROUND(AG3,0)</f>
        <v>1</v>
      </c>
      <c r="AJ55" s="274" t="b">
        <f>ROUND(AJ54,0)=ROUND(AJ3,0)</f>
        <v>1</v>
      </c>
      <c r="AM55" s="274" t="b">
        <f>ROUND(AM54,0)=ROUND(AM3,0)</f>
        <v>1</v>
      </c>
      <c r="AP55" s="274" t="b">
        <f>ROUND(AP54,0)=ROUND(AP3,0)</f>
        <v>1</v>
      </c>
      <c r="AS55" s="274" t="b">
        <f>ROUND(AS54,0)=ROUND(AS3,0)</f>
        <v>1</v>
      </c>
      <c r="AV55" s="274" t="b">
        <f>ROUND(AV54,0)=ROUND(AV3,0)</f>
        <v>1</v>
      </c>
      <c r="AY55" s="274" t="b">
        <f>ROUND(AY54,0)=ROUND(AY3,0)</f>
        <v>1</v>
      </c>
      <c r="BB55" s="274" t="b">
        <f>ROUND(BB54,0)=ROUND(BB3,0)</f>
        <v>1</v>
      </c>
      <c r="BE55" s="274" t="b">
        <f>ROUND(BE54,0)=ROUND(BE3,0)</f>
        <v>1</v>
      </c>
      <c r="BH55" s="274" t="b">
        <f>ROUND(BH54,0)=ROUND(BH3,0)</f>
        <v>1</v>
      </c>
      <c r="BK55" s="274" t="b">
        <f>ROUND(BK54,0)=ROUND(BK3,0)</f>
        <v>1</v>
      </c>
      <c r="BN55" s="274" t="b">
        <f>ROUND(BN54,0)=ROUND(BN3,0)</f>
        <v>1</v>
      </c>
      <c r="BQ55" s="274" t="b">
        <f>ROUND(BQ54,0)=ROUND(BQ3,0)</f>
        <v>1</v>
      </c>
      <c r="BT55" s="274" t="b">
        <f>ROUND(BT54,0)=ROUND(BT3,0)</f>
        <v>1</v>
      </c>
      <c r="BW55" s="274" t="b">
        <f>ROUND(BW54,0)=ROUND(BW3,0)</f>
        <v>1</v>
      </c>
      <c r="BZ55" s="274" t="b">
        <f>ROUND(BZ54,0)=ROUND(BZ3,0)</f>
        <v>1</v>
      </c>
      <c r="CC55" s="274" t="b">
        <f>ROUND(CC54,0)=ROUND(CC3,0)</f>
        <v>1</v>
      </c>
      <c r="CF55" s="274" t="b">
        <f>ROUND(CF54,0)=ROUND(CF3,0)</f>
        <v>1</v>
      </c>
      <c r="CI55" s="274" t="b">
        <f>ROUND(CI54,0)=ROUND(CI3,0)</f>
        <v>1</v>
      </c>
      <c r="CL55" s="274" t="b">
        <f>ROUND(CL54,0)=ROUND(CL3,0)</f>
        <v>1</v>
      </c>
      <c r="CO55" s="274" t="b">
        <f>ROUND(CO54,0)=ROUND(CO3,0)</f>
        <v>1</v>
      </c>
      <c r="CR55" s="274" t="b">
        <f>ROUND(CR54,0)=ROUND(CR3,0)</f>
        <v>1</v>
      </c>
      <c r="CU55" s="274" t="b">
        <f>ROUND(CU54,0)=ROUND(CU3,0)</f>
        <v>1</v>
      </c>
      <c r="CX55" s="274" t="b">
        <f>ROUND(CX54,0)=ROUND(CX3,0)</f>
        <v>1</v>
      </c>
    </row>
    <row r="56" spans="1:108" ht="16.2" customHeight="1">
      <c r="A56" s="142"/>
      <c r="E56" s="493"/>
    </row>
    <row r="57" spans="1:108" ht="16.2" customHeight="1">
      <c r="A57" s="145"/>
      <c r="C57" s="8" t="s">
        <v>145</v>
      </c>
      <c r="D57" s="8" t="s">
        <v>404</v>
      </c>
      <c r="E57" s="275"/>
      <c r="F57" s="275"/>
      <c r="G57" s="275"/>
      <c r="H57" s="275"/>
      <c r="I57" s="275"/>
      <c r="L57" s="275"/>
      <c r="O57" s="275"/>
      <c r="R57" s="275"/>
      <c r="U57" s="275"/>
      <c r="X57" s="275"/>
      <c r="AA57" s="275"/>
      <c r="AD57" s="275"/>
      <c r="AG57" s="275"/>
      <c r="AJ57" s="275"/>
      <c r="AM57" s="275"/>
      <c r="AP57" s="275"/>
      <c r="AS57" s="275"/>
      <c r="AV57" s="275"/>
      <c r="AY57" s="275"/>
      <c r="BB57" s="275"/>
      <c r="BE57" s="275"/>
      <c r="BH57" s="275"/>
      <c r="BK57" s="275"/>
      <c r="BN57" s="275"/>
      <c r="BQ57" s="275"/>
      <c r="BT57" s="275"/>
      <c r="BW57" s="275"/>
      <c r="BZ57" s="275"/>
      <c r="CC57" s="275"/>
      <c r="CF57" s="275"/>
      <c r="CI57" s="275"/>
      <c r="CL57" s="275"/>
      <c r="CO57" s="275"/>
      <c r="CR57" s="275"/>
      <c r="CU57" s="275"/>
      <c r="CX57" s="275"/>
    </row>
    <row r="58" spans="1:108" ht="16.2" customHeight="1">
      <c r="A58" s="145"/>
      <c r="C58" s="514" t="s">
        <v>14</v>
      </c>
      <c r="D58" s="638" t="s">
        <v>15</v>
      </c>
      <c r="E58" s="275"/>
      <c r="F58" s="275"/>
      <c r="G58" s="275"/>
      <c r="H58" s="134"/>
      <c r="I58" s="134"/>
      <c r="K58" s="134"/>
      <c r="L58" s="134"/>
      <c r="N58" s="134"/>
      <c r="O58" s="134"/>
      <c r="Q58" s="134"/>
      <c r="R58" s="134"/>
      <c r="T58" s="134"/>
      <c r="U58" s="134"/>
      <c r="W58" s="134"/>
      <c r="X58" s="134"/>
      <c r="Z58" s="134"/>
      <c r="AA58" s="134"/>
      <c r="AC58" s="134"/>
      <c r="AD58" s="275"/>
      <c r="AG58" s="275"/>
      <c r="AJ58" s="275"/>
      <c r="AM58" s="275"/>
      <c r="AP58" s="518">
        <f>ROUND(AP10,0)</f>
        <v>16465</v>
      </c>
      <c r="AQ58" s="519"/>
      <c r="AR58" s="520"/>
      <c r="AS58" s="518">
        <f>ROUND(AS10,0)</f>
        <v>18897</v>
      </c>
      <c r="AT58" s="519">
        <f>IFERROR(AS58/AP58-1,0)</f>
        <v>0.14770725781961747</v>
      </c>
      <c r="AU58" s="525"/>
      <c r="AV58" s="526">
        <f>ROUND(AV10,0)</f>
        <v>22426</v>
      </c>
      <c r="AW58" s="519">
        <f>IFERROR(AV58/AS58-1,0)</f>
        <v>0.1867492194528233</v>
      </c>
      <c r="AX58" s="525"/>
      <c r="AY58" s="526">
        <f>ROUND(AY10,0)</f>
        <v>25110</v>
      </c>
      <c r="AZ58" s="519">
        <f>IFERROR(AY58/AV58-1,0)</f>
        <v>0.11968251137073049</v>
      </c>
      <c r="BA58" s="525"/>
      <c r="BB58" s="526">
        <f>ROUND(BB10,0)</f>
        <v>23398</v>
      </c>
      <c r="BC58" s="519">
        <f>IFERROR(BB58/AY58-1,0)</f>
        <v>-6.8180007964954159E-2</v>
      </c>
      <c r="BD58" s="520"/>
      <c r="BE58" s="518">
        <f>ROUND(BE10,0)</f>
        <v>22445</v>
      </c>
      <c r="BF58" s="519">
        <f>IFERROR(BE58/BB58-1,0)</f>
        <v>-4.0729976921104361E-2</v>
      </c>
      <c r="BG58" s="525">
        <f t="shared" ref="BG58:BG64" si="179">IFERROR(BE58/AS58-1,)</f>
        <v>0.18775467005344759</v>
      </c>
      <c r="BH58" s="526">
        <f>ROUND(BH10,0)</f>
        <v>22394</v>
      </c>
      <c r="BI58" s="519">
        <f>IFERROR(BH58/BE58-1,0)</f>
        <v>-2.2722209846290919E-3</v>
      </c>
      <c r="BJ58" s="525">
        <f t="shared" ref="BJ58:BJ64" si="180">IFERROR(BH58/AV58-1,)</f>
        <v>-1.426915187728528E-3</v>
      </c>
      <c r="BK58" s="526">
        <f>ROUND(BK10,0)</f>
        <v>21607</v>
      </c>
      <c r="BL58" s="519">
        <f>IFERROR(BK58/BH58-1,0)</f>
        <v>-3.5143341966598185E-2</v>
      </c>
      <c r="BM58" s="525">
        <f t="shared" ref="BM58:BM64" si="181">IFERROR(BK58/AY58-1,)</f>
        <v>-0.13950617283950617</v>
      </c>
      <c r="BN58" s="526">
        <f>ROUND(BN10,0)</f>
        <v>19434</v>
      </c>
      <c r="BO58" s="519">
        <f>IFERROR(BN58/BK58-1,0)</f>
        <v>-0.10056925996204935</v>
      </c>
      <c r="BP58" s="520">
        <f t="shared" ref="BP58:BP64" si="182">IFERROR(BN58/BB58-1,)</f>
        <v>-0.16941618941789893</v>
      </c>
      <c r="BQ58" s="518">
        <f>ROUND(BQ10,0)</f>
        <v>19356</v>
      </c>
      <c r="BR58" s="519">
        <f>IFERROR(BQ58/BN58-1,0)</f>
        <v>-4.0135844396418374E-3</v>
      </c>
      <c r="BS58" s="525">
        <f t="shared" ref="BS58:BS64" si="183">IFERROR(BQ58/BE58-1,)</f>
        <v>-0.13762530630429937</v>
      </c>
      <c r="BT58" s="526">
        <f>ROUND(BT10,0)</f>
        <v>17860</v>
      </c>
      <c r="BU58" s="519">
        <f>IFERROR(BT58/BQ58-1,0)</f>
        <v>-7.7288696011572622E-2</v>
      </c>
      <c r="BV58" s="525">
        <f t="shared" ref="BV58:BV64" si="184">IFERROR(BT58/BH58-1,)</f>
        <v>-0.20246494596766995</v>
      </c>
      <c r="BW58" s="526">
        <f>ROUND(BW10,0)</f>
        <v>16737</v>
      </c>
      <c r="BX58" s="519">
        <f>IFERROR(BW58/BT58-1,0)</f>
        <v>-6.2877939529675242E-2</v>
      </c>
      <c r="BY58" s="525">
        <f t="shared" ref="BY58:BY64" si="185">IFERROR(BW58/BK58-1,)</f>
        <v>-0.22538991993335489</v>
      </c>
      <c r="BZ58" s="526">
        <f>ROUND(BZ10,0)</f>
        <v>30000</v>
      </c>
      <c r="CA58" s="519">
        <f>IFERROR(BZ58/BW58-1,0)</f>
        <v>0.7924359204158451</v>
      </c>
      <c r="CB58" s="520">
        <f t="shared" ref="CB58:CB64" si="186">IFERROR(BZ58/BN58-1,)</f>
        <v>0.54368632293917885</v>
      </c>
      <c r="CC58" s="518">
        <f>ROUND(CC10,0)</f>
        <v>30415</v>
      </c>
      <c r="CD58" s="519">
        <f>IFERROR(CC58/BZ58-1,0)</f>
        <v>1.3833333333333364E-2</v>
      </c>
      <c r="CE58" s="525">
        <f>IFERROR(CC58/BQ58-1,)</f>
        <v>0.57134738582351718</v>
      </c>
      <c r="CF58" s="526">
        <f>ROUND(CF10,0)</f>
        <v>30085</v>
      </c>
      <c r="CG58" s="519">
        <f t="shared" si="30"/>
        <v>-1.0849909584086825E-2</v>
      </c>
      <c r="CH58" s="525">
        <f t="shared" si="31"/>
        <v>0.68449048152295622</v>
      </c>
      <c r="CI58" s="526">
        <f>ROUND(CI10,0)</f>
        <v>31261</v>
      </c>
      <c r="CJ58" s="519">
        <f t="shared" ref="CJ58:CJ64" si="187">IFERROR(CI58/CF58-1,0)</f>
        <v>3.9089247133122784E-2</v>
      </c>
      <c r="CK58" s="525">
        <f t="shared" ref="CK58:CK64" si="188">IFERROR(CI58/BW58-1,)</f>
        <v>0.86777797693732439</v>
      </c>
      <c r="CL58" s="526">
        <f>ROUND(CL10,0)</f>
        <v>30097</v>
      </c>
      <c r="CM58" s="519">
        <f t="shared" ref="CM58:CM64" si="189">IFERROR(CL58/CI58-1,0)</f>
        <v>-3.7234893317552253E-2</v>
      </c>
      <c r="CN58" s="525">
        <f t="shared" ref="CN58:CN64" si="190">IFERROR(CL58/BZ58-1,)</f>
        <v>3.2333333333334213E-3</v>
      </c>
      <c r="CO58" s="518">
        <f>ROUND(CO10,0)</f>
        <v>59120</v>
      </c>
      <c r="CP58" s="519">
        <f>IFERROR(CO58/CL58-1,0)</f>
        <v>0.96431538027045893</v>
      </c>
      <c r="CQ58" s="519">
        <f>IFERROR(CO58/CC58-1,)</f>
        <v>0.9437777412460957</v>
      </c>
      <c r="CR58" s="715">
        <f>ROUND(CR10,0)</f>
        <v>64897</v>
      </c>
      <c r="CS58" s="519">
        <f t="shared" ref="CS58:CS64" si="191">IFERROR(CR58/CO58-1,0)</f>
        <v>9.7716508795669732E-2</v>
      </c>
      <c r="CT58" s="525">
        <f t="shared" ref="CT58:CT64" si="192">IFERROR(CR58/CF58-1,)</f>
        <v>1.1571214891141763</v>
      </c>
      <c r="CU58" s="715">
        <f>ROUND(CU10,0)</f>
        <v>0</v>
      </c>
      <c r="CV58" s="519">
        <f t="shared" ref="CV58:CV64" si="193">IFERROR(CU58/CR58-1,0)</f>
        <v>-1</v>
      </c>
      <c r="CW58" s="525">
        <f t="shared" ref="CW58:CW64" si="194">IFERROR(CU58/CI58-1,)</f>
        <v>-1</v>
      </c>
      <c r="CX58" s="715">
        <f>ROUND(CX10,0)</f>
        <v>0</v>
      </c>
      <c r="CY58" s="519">
        <f t="shared" ref="CY58:CY64" si="195">IFERROR(CX58/CU58-1,0)</f>
        <v>0</v>
      </c>
      <c r="CZ58" s="520">
        <f t="shared" ref="CZ58:CZ64" si="196">IFERROR(CX58/CL58-1,)</f>
        <v>-1</v>
      </c>
    </row>
    <row r="59" spans="1:108" ht="16.2" customHeight="1">
      <c r="A59" s="142"/>
      <c r="C59" s="512" t="s">
        <v>29</v>
      </c>
      <c r="D59" s="639" t="s">
        <v>71</v>
      </c>
      <c r="E59" s="275"/>
      <c r="F59" s="275"/>
      <c r="G59" s="275"/>
      <c r="H59" s="134"/>
      <c r="I59" s="134"/>
      <c r="K59" s="134"/>
      <c r="L59" s="134"/>
      <c r="N59" s="134"/>
      <c r="O59" s="134"/>
      <c r="Q59" s="134"/>
      <c r="R59" s="134"/>
      <c r="T59" s="134"/>
      <c r="U59" s="134"/>
      <c r="W59" s="134"/>
      <c r="X59" s="134"/>
      <c r="Z59" s="134"/>
      <c r="AA59" s="134"/>
      <c r="AC59" s="134"/>
      <c r="AD59" s="275"/>
      <c r="AG59" s="275"/>
      <c r="AJ59" s="275"/>
      <c r="AM59" s="275"/>
      <c r="AP59" s="521">
        <v>4604.2659999999996</v>
      </c>
      <c r="AQ59" s="287"/>
      <c r="AR59" s="513"/>
      <c r="AS59" s="521">
        <v>4851.0420000000004</v>
      </c>
      <c r="AT59" s="287">
        <f t="shared" ref="AT59:AT64" si="197">IFERROR(AS59/AP59-1,0)</f>
        <v>5.3597250897320148E-2</v>
      </c>
      <c r="AU59" s="288"/>
      <c r="AV59" s="467">
        <v>4974.872738</v>
      </c>
      <c r="AW59" s="287">
        <f t="shared" ref="AW59:AW64" si="198">IFERROR(AV59/AS59-1,0)</f>
        <v>2.5526626650521633E-2</v>
      </c>
      <c r="AX59" s="288"/>
      <c r="AY59" s="467">
        <v>6369.4154689999996</v>
      </c>
      <c r="AZ59" s="287">
        <f t="shared" ref="AZ59:AZ64" si="199">IFERROR(AY59/AV59-1,0)</f>
        <v>0.28031726728363182</v>
      </c>
      <c r="BA59" s="288"/>
      <c r="BB59" s="467">
        <v>5738.9257939999998</v>
      </c>
      <c r="BC59" s="287">
        <f t="shared" ref="BC59:BC64" si="200">IFERROR(BB59/AY59-1,0)</f>
        <v>-9.8987054317401402E-2</v>
      </c>
      <c r="BD59" s="513"/>
      <c r="BE59" s="521">
        <v>4616.30206</v>
      </c>
      <c r="BF59" s="287">
        <f t="shared" ref="BF59:BF64" si="201">IFERROR(BE59/BB59-1,0)</f>
        <v>-0.19561565601243591</v>
      </c>
      <c r="BG59" s="288">
        <f t="shared" si="179"/>
        <v>-4.8389591349652372E-2</v>
      </c>
      <c r="BH59" s="467">
        <v>5433.2248920000002</v>
      </c>
      <c r="BI59" s="287">
        <f t="shared" ref="BI59:BI64" si="202">IFERROR(BH59/BE59-1,0)</f>
        <v>0.17696476993535382</v>
      </c>
      <c r="BJ59" s="288">
        <f t="shared" si="180"/>
        <v>9.2133443032407447E-2</v>
      </c>
      <c r="BK59" s="467">
        <v>5799.1417949999995</v>
      </c>
      <c r="BL59" s="287">
        <f t="shared" ref="BL59:BL64" si="203">IFERROR(BK59/BH59-1,0)</f>
        <v>6.7348013430988951E-2</v>
      </c>
      <c r="BM59" s="288">
        <f t="shared" si="181"/>
        <v>-8.9533125414023806E-2</v>
      </c>
      <c r="BN59" s="467">
        <v>5871.0150000000003</v>
      </c>
      <c r="BO59" s="287">
        <f t="shared" ref="BO59:BO64" si="204">IFERROR(BN59/BK59-1,0)</f>
        <v>1.2393765757196862E-2</v>
      </c>
      <c r="BP59" s="513">
        <f t="shared" si="182"/>
        <v>2.3016364166635217E-2</v>
      </c>
      <c r="BQ59" s="521">
        <v>4758.2633740000001</v>
      </c>
      <c r="BR59" s="287">
        <f t="shared" ref="BR59:BR64" si="205">IFERROR(BQ59/BN59-1,0)</f>
        <v>-0.18953309197813328</v>
      </c>
      <c r="BS59" s="288">
        <f t="shared" si="183"/>
        <v>3.0752171793541727E-2</v>
      </c>
      <c r="BT59" s="467">
        <v>4740.9804660000009</v>
      </c>
      <c r="BU59" s="287">
        <f t="shared" ref="BU59:BU64" si="206">IFERROR(BT59/BQ59-1,0)</f>
        <v>-3.6321881832847014E-3</v>
      </c>
      <c r="BV59" s="288">
        <f t="shared" si="184"/>
        <v>-0.12740949247642508</v>
      </c>
      <c r="BW59" s="467">
        <v>4173.4588599999997</v>
      </c>
      <c r="BX59" s="287">
        <f t="shared" ref="BX59:BX64" si="207">IFERROR(BW59/BT59-1,0)</f>
        <v>-0.11970553561019481</v>
      </c>
      <c r="BY59" s="288">
        <f t="shared" si="185"/>
        <v>-0.28033164086480145</v>
      </c>
      <c r="BZ59" s="467">
        <v>11507.050241999999</v>
      </c>
      <c r="CA59" s="287">
        <f t="shared" ref="CA59:CA64" si="208">IFERROR(BZ59/BW59-1,0)</f>
        <v>1.7571974776816179</v>
      </c>
      <c r="CB59" s="513">
        <f t="shared" si="186"/>
        <v>0.9599762974545285</v>
      </c>
      <c r="CC59" s="521">
        <v>9508</v>
      </c>
      <c r="CD59" s="287">
        <f t="shared" ref="CD59:CD64" si="209">IFERROR(CC59/BZ59-1,0)</f>
        <v>-0.17372395183464073</v>
      </c>
      <c r="CE59" s="288">
        <f t="shared" ref="CE59:CE64" si="210">IFERROR(CC59/BQ59-1,)</f>
        <v>0.99820801260254077</v>
      </c>
      <c r="CF59" s="467">
        <v>9487</v>
      </c>
      <c r="CG59" s="287">
        <f t="shared" si="30"/>
        <v>-2.2086663862010969E-3</v>
      </c>
      <c r="CH59" s="288">
        <f t="shared" si="31"/>
        <v>1.0010628746598167</v>
      </c>
      <c r="CI59" s="467">
        <v>9954.2750758191141</v>
      </c>
      <c r="CJ59" s="287">
        <f t="shared" si="187"/>
        <v>4.9254250639729547E-2</v>
      </c>
      <c r="CK59" s="288">
        <f t="shared" si="188"/>
        <v>1.3851379418699037</v>
      </c>
      <c r="CL59" s="467">
        <v>11053.2</v>
      </c>
      <c r="CM59" s="287">
        <f t="shared" si="189"/>
        <v>0.11039728315830755</v>
      </c>
      <c r="CN59" s="288">
        <f t="shared" si="190"/>
        <v>-3.9441058521103356E-2</v>
      </c>
      <c r="CO59" s="521">
        <v>8349.6010000000006</v>
      </c>
      <c r="CP59" s="287">
        <f t="shared" ref="CP59:CP64" si="211">IFERROR(CO59/CL59-1,0)</f>
        <v>-0.24459875873050341</v>
      </c>
      <c r="CQ59" s="287">
        <f t="shared" ref="CQ59:CQ64" si="212">IFERROR(CO59/CC59-1,)</f>
        <v>-0.12183413967185519</v>
      </c>
      <c r="CR59" s="716">
        <v>25522.971000000001</v>
      </c>
      <c r="CS59" s="287">
        <f t="shared" si="191"/>
        <v>2.0567893004707649</v>
      </c>
      <c r="CT59" s="288">
        <f t="shared" si="192"/>
        <v>1.6903100031622222</v>
      </c>
      <c r="CU59" s="716">
        <v>0</v>
      </c>
      <c r="CV59" s="287">
        <f t="shared" si="193"/>
        <v>-1</v>
      </c>
      <c r="CW59" s="288">
        <f t="shared" si="194"/>
        <v>-1</v>
      </c>
      <c r="CX59" s="716">
        <v>0</v>
      </c>
      <c r="CY59" s="287">
        <f t="shared" si="195"/>
        <v>0</v>
      </c>
      <c r="CZ59" s="513">
        <f t="shared" si="196"/>
        <v>-1</v>
      </c>
    </row>
    <row r="60" spans="1:108" ht="16.2" customHeight="1">
      <c r="A60" s="146"/>
      <c r="C60" s="512" t="s">
        <v>490</v>
      </c>
      <c r="D60" s="639" t="s">
        <v>72</v>
      </c>
      <c r="E60" s="275"/>
      <c r="F60" s="275"/>
      <c r="G60" s="275"/>
      <c r="H60" s="134"/>
      <c r="I60" s="134"/>
      <c r="K60" s="134"/>
      <c r="L60" s="134"/>
      <c r="N60" s="134"/>
      <c r="O60" s="134"/>
      <c r="Q60" s="134"/>
      <c r="R60" s="134"/>
      <c r="T60" s="134"/>
      <c r="U60" s="134"/>
      <c r="W60" s="134"/>
      <c r="X60" s="134"/>
      <c r="Z60" s="134"/>
      <c r="AA60" s="134"/>
      <c r="AC60" s="134"/>
      <c r="AD60" s="275"/>
      <c r="AG60" s="275"/>
      <c r="AJ60" s="275"/>
      <c r="AM60" s="275"/>
      <c r="AP60" s="521">
        <v>1830.5260000000001</v>
      </c>
      <c r="AQ60" s="287"/>
      <c r="AR60" s="513"/>
      <c r="AS60" s="521">
        <v>2491.6460000000002</v>
      </c>
      <c r="AT60" s="287">
        <f t="shared" si="197"/>
        <v>0.36116394959700115</v>
      </c>
      <c r="AU60" s="288"/>
      <c r="AV60" s="467">
        <v>3631.4517209999999</v>
      </c>
      <c r="AW60" s="287">
        <f t="shared" si="198"/>
        <v>0.45745090634865448</v>
      </c>
      <c r="AX60" s="288"/>
      <c r="AY60" s="467">
        <v>3738.6529999999998</v>
      </c>
      <c r="AZ60" s="287">
        <f t="shared" si="199"/>
        <v>2.9520226960494833E-2</v>
      </c>
      <c r="BA60" s="288"/>
      <c r="BB60" s="467">
        <v>3045.7473890000001</v>
      </c>
      <c r="BC60" s="287">
        <f t="shared" si="200"/>
        <v>-0.18533563050649515</v>
      </c>
      <c r="BD60" s="513"/>
      <c r="BE60" s="521">
        <v>2844.3973329999999</v>
      </c>
      <c r="BF60" s="287">
        <f t="shared" si="201"/>
        <v>-6.6108586919320533E-2</v>
      </c>
      <c r="BG60" s="288">
        <f t="shared" si="179"/>
        <v>0.14157361559386827</v>
      </c>
      <c r="BH60" s="467">
        <v>3004.0402510000004</v>
      </c>
      <c r="BI60" s="287">
        <f t="shared" si="202"/>
        <v>5.6125392942772967E-2</v>
      </c>
      <c r="BJ60" s="288">
        <f t="shared" si="180"/>
        <v>-0.17277153001148204</v>
      </c>
      <c r="BK60" s="467">
        <v>2897.5369819999996</v>
      </c>
      <c r="BL60" s="287">
        <f t="shared" si="203"/>
        <v>-3.5453342865345183E-2</v>
      </c>
      <c r="BM60" s="288">
        <f t="shared" si="181"/>
        <v>-0.22497835931818233</v>
      </c>
      <c r="BN60" s="467">
        <v>2695.67</v>
      </c>
      <c r="BO60" s="287">
        <f t="shared" si="204"/>
        <v>-6.966847472664961E-2</v>
      </c>
      <c r="BP60" s="513">
        <f t="shared" si="182"/>
        <v>-0.11493973212103448</v>
      </c>
      <c r="BQ60" s="521">
        <v>2890.2065440000001</v>
      </c>
      <c r="BR60" s="287">
        <f t="shared" si="205"/>
        <v>7.2166305222820304E-2</v>
      </c>
      <c r="BS60" s="288">
        <f t="shared" si="183"/>
        <v>1.6105067484255109E-2</v>
      </c>
      <c r="BT60" s="467">
        <v>1990.112517</v>
      </c>
      <c r="BU60" s="287">
        <f t="shared" si="206"/>
        <v>-0.31142896305060752</v>
      </c>
      <c r="BV60" s="288">
        <f t="shared" si="184"/>
        <v>-0.33752135433687314</v>
      </c>
      <c r="BW60" s="467">
        <v>1917.32312</v>
      </c>
      <c r="BX60" s="287">
        <f t="shared" si="207"/>
        <v>-3.6575518408238805E-2</v>
      </c>
      <c r="BY60" s="288">
        <f t="shared" si="185"/>
        <v>-0.33829209707736518</v>
      </c>
      <c r="BZ60" s="467">
        <v>4049.4464800000001</v>
      </c>
      <c r="CA60" s="287">
        <f t="shared" si="208"/>
        <v>1.1120313199999381</v>
      </c>
      <c r="CB60" s="513">
        <f t="shared" si="186"/>
        <v>0.50220408284396822</v>
      </c>
      <c r="CC60" s="521">
        <v>3901</v>
      </c>
      <c r="CD60" s="287">
        <f t="shared" si="209"/>
        <v>-3.6658462022691074E-2</v>
      </c>
      <c r="CE60" s="288">
        <f t="shared" si="210"/>
        <v>0.34973052638690572</v>
      </c>
      <c r="CF60" s="467">
        <v>3440</v>
      </c>
      <c r="CG60" s="287">
        <f t="shared" si="30"/>
        <v>-0.11817482696744419</v>
      </c>
      <c r="CH60" s="288">
        <f t="shared" si="31"/>
        <v>0.72854548203416991</v>
      </c>
      <c r="CI60" s="467">
        <v>3247.7076149999998</v>
      </c>
      <c r="CJ60" s="287">
        <f t="shared" si="187"/>
        <v>-5.5898949127907049E-2</v>
      </c>
      <c r="CK60" s="288">
        <f t="shared" si="188"/>
        <v>0.69387599884572393</v>
      </c>
      <c r="CL60" s="467">
        <v>2783.3</v>
      </c>
      <c r="CM60" s="287">
        <f t="shared" si="189"/>
        <v>-0.142995512544007</v>
      </c>
      <c r="CN60" s="288">
        <f t="shared" si="190"/>
        <v>-0.3126714938087044</v>
      </c>
      <c r="CO60" s="521">
        <v>3495.3470000000002</v>
      </c>
      <c r="CP60" s="287">
        <f t="shared" si="211"/>
        <v>0.25582833327345234</v>
      </c>
      <c r="CQ60" s="287">
        <f t="shared" si="212"/>
        <v>-0.10398692642912066</v>
      </c>
      <c r="CR60" s="716">
        <v>2977.7559999999999</v>
      </c>
      <c r="CS60" s="287">
        <f t="shared" si="191"/>
        <v>-0.14808000464617688</v>
      </c>
      <c r="CT60" s="288">
        <f t="shared" si="192"/>
        <v>-0.13437325581395354</v>
      </c>
      <c r="CU60" s="716">
        <v>0</v>
      </c>
      <c r="CV60" s="287">
        <f t="shared" si="193"/>
        <v>-1</v>
      </c>
      <c r="CW60" s="288">
        <f t="shared" si="194"/>
        <v>-1</v>
      </c>
      <c r="CX60" s="716">
        <v>0</v>
      </c>
      <c r="CY60" s="287">
        <f t="shared" si="195"/>
        <v>0</v>
      </c>
      <c r="CZ60" s="513">
        <f t="shared" si="196"/>
        <v>-1</v>
      </c>
    </row>
    <row r="61" spans="1:108" ht="16.2" customHeight="1">
      <c r="C61" s="512" t="s">
        <v>31</v>
      </c>
      <c r="D61" s="639" t="s">
        <v>32</v>
      </c>
      <c r="E61" s="275"/>
      <c r="F61" s="275"/>
      <c r="G61" s="275"/>
      <c r="H61" s="134"/>
      <c r="I61" s="134"/>
      <c r="K61" s="134"/>
      <c r="L61" s="134"/>
      <c r="N61" s="134"/>
      <c r="O61" s="134"/>
      <c r="Q61" s="134"/>
      <c r="R61" s="134"/>
      <c r="T61" s="134"/>
      <c r="U61" s="134"/>
      <c r="W61" s="134"/>
      <c r="X61" s="134"/>
      <c r="Z61" s="134"/>
      <c r="AA61" s="134"/>
      <c r="AC61" s="134"/>
      <c r="AD61" s="275"/>
      <c r="AG61" s="275"/>
      <c r="AJ61" s="275"/>
      <c r="AM61" s="275"/>
      <c r="AP61" s="521">
        <v>10030.572</v>
      </c>
      <c r="AQ61" s="287"/>
      <c r="AR61" s="513"/>
      <c r="AS61" s="521">
        <v>11554.665999999999</v>
      </c>
      <c r="AT61" s="287">
        <f t="shared" si="197"/>
        <v>0.15194487413080715</v>
      </c>
      <c r="AU61" s="288"/>
      <c r="AV61" s="467">
        <v>13819.287678999999</v>
      </c>
      <c r="AW61" s="287">
        <f t="shared" si="198"/>
        <v>0.19599196367943472</v>
      </c>
      <c r="AX61" s="288"/>
      <c r="AY61" s="467">
        <v>15002.321</v>
      </c>
      <c r="AZ61" s="287">
        <f t="shared" si="199"/>
        <v>8.5607402384260123E-2</v>
      </c>
      <c r="BA61" s="288"/>
      <c r="BB61" s="467">
        <v>14612.993802999999</v>
      </c>
      <c r="BC61" s="287">
        <f t="shared" si="200"/>
        <v>-2.5951130961669233E-2</v>
      </c>
      <c r="BD61" s="513"/>
      <c r="BE61" s="521">
        <v>14984.099269999999</v>
      </c>
      <c r="BF61" s="287">
        <f t="shared" si="201"/>
        <v>2.5395580946856455E-2</v>
      </c>
      <c r="BG61" s="288">
        <f t="shared" si="179"/>
        <v>0.29680072708289451</v>
      </c>
      <c r="BH61" s="467">
        <v>13956.642719000001</v>
      </c>
      <c r="BI61" s="287">
        <f t="shared" si="202"/>
        <v>-6.8569790715221068E-2</v>
      </c>
      <c r="BJ61" s="288">
        <f t="shared" si="180"/>
        <v>9.9393719264364577E-3</v>
      </c>
      <c r="BK61" s="467">
        <v>12910.353472999999</v>
      </c>
      <c r="BL61" s="287">
        <f t="shared" si="203"/>
        <v>-7.4967115449306898E-2</v>
      </c>
      <c r="BM61" s="288">
        <f t="shared" si="181"/>
        <v>-0.13944292533135383</v>
      </c>
      <c r="BN61" s="467">
        <v>10867.643</v>
      </c>
      <c r="BO61" s="287">
        <f t="shared" si="204"/>
        <v>-0.15822266038431954</v>
      </c>
      <c r="BP61" s="513">
        <f t="shared" si="182"/>
        <v>-0.25630277091003018</v>
      </c>
      <c r="BQ61" s="521">
        <v>10168.242468</v>
      </c>
      <c r="BR61" s="287">
        <f t="shared" si="205"/>
        <v>-6.4356229957130529E-2</v>
      </c>
      <c r="BS61" s="288">
        <f t="shared" si="183"/>
        <v>-0.32139781746120255</v>
      </c>
      <c r="BT61" s="467">
        <v>9696.0660779999998</v>
      </c>
      <c r="BU61" s="287">
        <f t="shared" si="206"/>
        <v>-4.6436381851235775E-2</v>
      </c>
      <c r="BV61" s="288">
        <f t="shared" si="184"/>
        <v>-0.30527231561210832</v>
      </c>
      <c r="BW61" s="467">
        <v>9230.8198080000002</v>
      </c>
      <c r="BX61" s="287">
        <f t="shared" si="207"/>
        <v>-4.7982992922833478E-2</v>
      </c>
      <c r="BY61" s="288">
        <f t="shared" si="185"/>
        <v>-0.28500642315449942</v>
      </c>
      <c r="BZ61" s="467">
        <v>12932.859044000001</v>
      </c>
      <c r="CA61" s="287">
        <f t="shared" si="208"/>
        <v>0.40105205312225722</v>
      </c>
      <c r="CB61" s="513">
        <f t="shared" si="186"/>
        <v>0.19003348232914918</v>
      </c>
      <c r="CC61" s="521">
        <v>15112</v>
      </c>
      <c r="CD61" s="287">
        <f t="shared" si="209"/>
        <v>0.16849645918092482</v>
      </c>
      <c r="CE61" s="288">
        <f t="shared" si="210"/>
        <v>0.48619587382561602</v>
      </c>
      <c r="CF61" s="467">
        <v>15449</v>
      </c>
      <c r="CG61" s="287">
        <f t="shared" si="30"/>
        <v>2.2300158814187343E-2</v>
      </c>
      <c r="CH61" s="288">
        <f t="shared" si="31"/>
        <v>0.59332660026453254</v>
      </c>
      <c r="CI61" s="467">
        <v>16314.357533</v>
      </c>
      <c r="CJ61" s="287">
        <f t="shared" si="187"/>
        <v>5.6013821800763752E-2</v>
      </c>
      <c r="CK61" s="288">
        <f t="shared" si="188"/>
        <v>0.76737904891838182</v>
      </c>
      <c r="CL61" s="467">
        <v>15431.8</v>
      </c>
      <c r="CM61" s="287">
        <f t="shared" si="189"/>
        <v>-5.4096983666981679E-2</v>
      </c>
      <c r="CN61" s="288">
        <f t="shared" si="190"/>
        <v>0.19322417011568249</v>
      </c>
      <c r="CO61" s="521">
        <v>16833.616999999998</v>
      </c>
      <c r="CP61" s="287">
        <f t="shared" si="211"/>
        <v>9.0839500252724914E-2</v>
      </c>
      <c r="CQ61" s="287">
        <f t="shared" si="212"/>
        <v>0.11392383536262551</v>
      </c>
      <c r="CR61" s="716">
        <v>17380.841</v>
      </c>
      <c r="CS61" s="287">
        <f t="shared" si="191"/>
        <v>3.2507808630789281E-2</v>
      </c>
      <c r="CT61" s="288">
        <f t="shared" si="192"/>
        <v>0.12504634604181497</v>
      </c>
      <c r="CU61" s="716">
        <v>0</v>
      </c>
      <c r="CV61" s="287">
        <f t="shared" si="193"/>
        <v>-1</v>
      </c>
      <c r="CW61" s="288">
        <f t="shared" si="194"/>
        <v>-1</v>
      </c>
      <c r="CX61" s="716">
        <v>0</v>
      </c>
      <c r="CY61" s="287">
        <f t="shared" si="195"/>
        <v>0</v>
      </c>
      <c r="CZ61" s="513">
        <f t="shared" si="196"/>
        <v>-1</v>
      </c>
    </row>
    <row r="62" spans="1:108" ht="16.2" customHeight="1">
      <c r="C62" s="512" t="s">
        <v>33</v>
      </c>
      <c r="D62" s="639" t="s">
        <v>34</v>
      </c>
      <c r="E62" s="275"/>
      <c r="F62" s="275"/>
      <c r="G62" s="275"/>
      <c r="H62" s="134"/>
      <c r="I62" s="134"/>
      <c r="K62" s="134"/>
      <c r="L62" s="134"/>
      <c r="N62" s="134"/>
      <c r="O62" s="134"/>
      <c r="Q62" s="134"/>
      <c r="R62" s="134"/>
      <c r="T62" s="134"/>
      <c r="U62" s="134"/>
      <c r="W62" s="134"/>
      <c r="X62" s="134"/>
      <c r="Z62" s="134"/>
      <c r="AA62" s="134"/>
      <c r="AC62" s="134"/>
      <c r="AD62" s="275"/>
      <c r="AG62" s="275"/>
      <c r="AJ62" s="275"/>
      <c r="AM62" s="275"/>
      <c r="AP62" s="521">
        <v>0</v>
      </c>
      <c r="AQ62" s="287"/>
      <c r="AR62" s="513"/>
      <c r="AS62" s="521">
        <v>0</v>
      </c>
      <c r="AT62" s="287">
        <f t="shared" si="197"/>
        <v>0</v>
      </c>
      <c r="AU62" s="288"/>
      <c r="AV62" s="467">
        <v>0</v>
      </c>
      <c r="AW62" s="287">
        <f t="shared" si="198"/>
        <v>0</v>
      </c>
      <c r="AX62" s="288"/>
      <c r="AY62" s="467" t="s">
        <v>3</v>
      </c>
      <c r="AZ62" s="287">
        <f t="shared" si="199"/>
        <v>0</v>
      </c>
      <c r="BA62" s="288"/>
      <c r="BB62" s="467" t="s">
        <v>3</v>
      </c>
      <c r="BC62" s="287">
        <f t="shared" si="200"/>
        <v>0</v>
      </c>
      <c r="BD62" s="513"/>
      <c r="BE62" s="521">
        <v>0</v>
      </c>
      <c r="BF62" s="287">
        <f t="shared" si="201"/>
        <v>0</v>
      </c>
      <c r="BG62" s="288">
        <f t="shared" si="179"/>
        <v>0</v>
      </c>
      <c r="BH62" s="467">
        <v>0</v>
      </c>
      <c r="BI62" s="287">
        <f t="shared" si="202"/>
        <v>0</v>
      </c>
      <c r="BJ62" s="288">
        <f t="shared" si="180"/>
        <v>0</v>
      </c>
      <c r="BK62" s="467"/>
      <c r="BL62" s="287">
        <f t="shared" si="203"/>
        <v>0</v>
      </c>
      <c r="BM62" s="288">
        <f t="shared" si="181"/>
        <v>0</v>
      </c>
      <c r="BN62" s="467" t="s">
        <v>3</v>
      </c>
      <c r="BO62" s="287">
        <f t="shared" si="204"/>
        <v>0</v>
      </c>
      <c r="BP62" s="513">
        <f t="shared" si="182"/>
        <v>0</v>
      </c>
      <c r="BQ62" s="521">
        <v>1539.163382</v>
      </c>
      <c r="BR62" s="287">
        <f t="shared" si="205"/>
        <v>0</v>
      </c>
      <c r="BS62" s="288">
        <f t="shared" si="183"/>
        <v>0</v>
      </c>
      <c r="BT62" s="467">
        <v>1433.09691</v>
      </c>
      <c r="BU62" s="287">
        <f t="shared" si="206"/>
        <v>-6.8911769367964282E-2</v>
      </c>
      <c r="BV62" s="288">
        <f t="shared" si="184"/>
        <v>0</v>
      </c>
      <c r="BW62" s="467">
        <v>1415.340371</v>
      </c>
      <c r="BX62" s="287">
        <f t="shared" si="207"/>
        <v>-1.2390326764433524E-2</v>
      </c>
      <c r="BY62" s="288">
        <f t="shared" si="185"/>
        <v>0</v>
      </c>
      <c r="BZ62" s="467">
        <v>1344.6260520000001</v>
      </c>
      <c r="CA62" s="287">
        <f t="shared" si="208"/>
        <v>-4.9962765458344993E-2</v>
      </c>
      <c r="CB62" s="513">
        <f t="shared" si="186"/>
        <v>0</v>
      </c>
      <c r="CC62" s="521">
        <v>1858</v>
      </c>
      <c r="CD62" s="287">
        <f t="shared" si="209"/>
        <v>0.38179681796021003</v>
      </c>
      <c r="CE62" s="288">
        <f t="shared" si="210"/>
        <v>0.20714930054124703</v>
      </c>
      <c r="CF62" s="467">
        <v>1708</v>
      </c>
      <c r="CG62" s="287">
        <f t="shared" si="30"/>
        <v>-8.073196986006459E-2</v>
      </c>
      <c r="CH62" s="288">
        <f t="shared" si="31"/>
        <v>0.19182449426954662</v>
      </c>
      <c r="CI62" s="467">
        <v>1745.0549579999999</v>
      </c>
      <c r="CJ62" s="287">
        <f t="shared" si="187"/>
        <v>2.1694940281030473E-2</v>
      </c>
      <c r="CK62" s="288">
        <f t="shared" si="188"/>
        <v>0.23295780559629065</v>
      </c>
      <c r="CL62" s="467">
        <v>799.7</v>
      </c>
      <c r="CM62" s="287">
        <f t="shared" si="189"/>
        <v>-0.54173363060351243</v>
      </c>
      <c r="CN62" s="288">
        <f t="shared" si="190"/>
        <v>-0.40526215536987087</v>
      </c>
      <c r="CO62" s="906">
        <v>14217.623</v>
      </c>
      <c r="CP62" s="287">
        <f t="shared" si="211"/>
        <v>16.778695760910338</v>
      </c>
      <c r="CQ62" s="287">
        <f t="shared" si="212"/>
        <v>6.6521114101184065</v>
      </c>
      <c r="CR62" s="716">
        <v>1922.0160000000001</v>
      </c>
      <c r="CS62" s="287">
        <f t="shared" si="191"/>
        <v>-0.86481453334358349</v>
      </c>
      <c r="CT62" s="288">
        <f t="shared" si="192"/>
        <v>0.12530210772833739</v>
      </c>
      <c r="CU62" s="716">
        <v>0</v>
      </c>
      <c r="CV62" s="287">
        <f t="shared" si="193"/>
        <v>-1</v>
      </c>
      <c r="CW62" s="288">
        <f t="shared" si="194"/>
        <v>-1</v>
      </c>
      <c r="CX62" s="716">
        <v>0</v>
      </c>
      <c r="CY62" s="287">
        <f t="shared" si="195"/>
        <v>0</v>
      </c>
      <c r="CZ62" s="513">
        <f t="shared" si="196"/>
        <v>-1</v>
      </c>
      <c r="DC62" s="29"/>
      <c r="DD62" s="29"/>
    </row>
    <row r="63" spans="1:108" s="29" customFormat="1" ht="16.2" customHeight="1">
      <c r="A63" s="147"/>
      <c r="B63" s="30"/>
      <c r="C63" s="512" t="s">
        <v>172</v>
      </c>
      <c r="D63" s="639" t="s">
        <v>69</v>
      </c>
      <c r="E63" s="275"/>
      <c r="F63" s="275"/>
      <c r="G63" s="275"/>
      <c r="H63" s="134"/>
      <c r="I63" s="134"/>
      <c r="J63" s="275"/>
      <c r="K63" s="134"/>
      <c r="L63" s="134"/>
      <c r="M63" s="275"/>
      <c r="N63" s="134"/>
      <c r="O63" s="134"/>
      <c r="P63" s="275"/>
      <c r="Q63" s="134"/>
      <c r="R63" s="134"/>
      <c r="S63" s="275"/>
      <c r="T63" s="134"/>
      <c r="U63" s="134"/>
      <c r="V63" s="275"/>
      <c r="W63" s="134"/>
      <c r="X63" s="134"/>
      <c r="Y63" s="275"/>
      <c r="Z63" s="134"/>
      <c r="AA63" s="134"/>
      <c r="AB63" s="275"/>
      <c r="AC63" s="134"/>
      <c r="AD63" s="275"/>
      <c r="AE63" s="275"/>
      <c r="AF63" s="275"/>
      <c r="AG63" s="275"/>
      <c r="AH63" s="275"/>
      <c r="AI63" s="275"/>
      <c r="AJ63" s="275"/>
      <c r="AK63" s="275"/>
      <c r="AL63" s="275"/>
      <c r="AM63" s="275"/>
      <c r="AN63" s="275"/>
      <c r="AO63" s="275"/>
      <c r="AP63" s="521"/>
      <c r="AQ63" s="287"/>
      <c r="AR63" s="513"/>
      <c r="AS63" s="521"/>
      <c r="AT63" s="287">
        <f t="shared" si="197"/>
        <v>0</v>
      </c>
      <c r="AU63" s="288"/>
      <c r="AV63" s="467"/>
      <c r="AW63" s="287">
        <f t="shared" si="198"/>
        <v>0</v>
      </c>
      <c r="AX63" s="288"/>
      <c r="AY63" s="467"/>
      <c r="AZ63" s="287">
        <f t="shared" si="199"/>
        <v>0</v>
      </c>
      <c r="BA63" s="288"/>
      <c r="BB63" s="467"/>
      <c r="BC63" s="287">
        <f t="shared" si="200"/>
        <v>0</v>
      </c>
      <c r="BD63" s="513"/>
      <c r="BE63" s="521"/>
      <c r="BF63" s="287">
        <f t="shared" si="201"/>
        <v>0</v>
      </c>
      <c r="BG63" s="288">
        <f t="shared" si="179"/>
        <v>0</v>
      </c>
      <c r="BH63" s="467"/>
      <c r="BI63" s="287">
        <f t="shared" si="202"/>
        <v>0</v>
      </c>
      <c r="BJ63" s="288">
        <f t="shared" si="180"/>
        <v>0</v>
      </c>
      <c r="BK63" s="467"/>
      <c r="BL63" s="287">
        <f t="shared" si="203"/>
        <v>0</v>
      </c>
      <c r="BM63" s="288">
        <f t="shared" si="181"/>
        <v>0</v>
      </c>
      <c r="BN63" s="467"/>
      <c r="BO63" s="287">
        <f t="shared" si="204"/>
        <v>0</v>
      </c>
      <c r="BP63" s="513">
        <f t="shared" si="182"/>
        <v>0</v>
      </c>
      <c r="BQ63" s="521"/>
      <c r="BR63" s="287">
        <f t="shared" si="205"/>
        <v>0</v>
      </c>
      <c r="BS63" s="288">
        <f t="shared" si="183"/>
        <v>0</v>
      </c>
      <c r="BT63" s="467"/>
      <c r="BU63" s="287">
        <f t="shared" si="206"/>
        <v>0</v>
      </c>
      <c r="BV63" s="288">
        <f t="shared" si="184"/>
        <v>0</v>
      </c>
      <c r="BW63" s="467"/>
      <c r="BX63" s="287">
        <f t="shared" si="207"/>
        <v>0</v>
      </c>
      <c r="BY63" s="288">
        <f t="shared" si="185"/>
        <v>0</v>
      </c>
      <c r="BZ63" s="467">
        <v>165.82505</v>
      </c>
      <c r="CA63" s="287">
        <f t="shared" si="208"/>
        <v>0</v>
      </c>
      <c r="CB63" s="513">
        <f t="shared" si="186"/>
        <v>0</v>
      </c>
      <c r="CC63" s="521">
        <v>36</v>
      </c>
      <c r="CD63" s="287">
        <f t="shared" si="209"/>
        <v>-0.78290372896012994</v>
      </c>
      <c r="CE63" s="288">
        <f t="shared" si="210"/>
        <v>0</v>
      </c>
      <c r="CF63" s="467">
        <v>1</v>
      </c>
      <c r="CG63" s="287">
        <f t="shared" si="30"/>
        <v>-0.97222222222222221</v>
      </c>
      <c r="CH63" s="288">
        <f t="shared" si="31"/>
        <v>0</v>
      </c>
      <c r="CI63" s="467">
        <v>0</v>
      </c>
      <c r="CJ63" s="287">
        <f t="shared" si="187"/>
        <v>-1</v>
      </c>
      <c r="CK63" s="288">
        <f t="shared" si="188"/>
        <v>0</v>
      </c>
      <c r="CL63" s="467">
        <v>28.5</v>
      </c>
      <c r="CM63" s="287">
        <f t="shared" si="189"/>
        <v>0</v>
      </c>
      <c r="CN63" s="288">
        <f t="shared" si="190"/>
        <v>-0.82813211876010295</v>
      </c>
      <c r="CO63" s="521">
        <v>16223.49</v>
      </c>
      <c r="CP63" s="287">
        <f t="shared" si="211"/>
        <v>568.24526315789478</v>
      </c>
      <c r="CQ63" s="287">
        <f t="shared" si="212"/>
        <v>449.65249999999997</v>
      </c>
      <c r="CR63" s="716">
        <v>17093.386999999999</v>
      </c>
      <c r="CS63" s="287">
        <f t="shared" si="191"/>
        <v>5.3619597262980934E-2</v>
      </c>
      <c r="CT63" s="288">
        <f t="shared" si="192"/>
        <v>17092.386999999999</v>
      </c>
      <c r="CU63" s="716">
        <v>0</v>
      </c>
      <c r="CV63" s="287">
        <f t="shared" si="193"/>
        <v>-1</v>
      </c>
      <c r="CW63" s="288">
        <f t="shared" si="194"/>
        <v>0</v>
      </c>
      <c r="CX63" s="716">
        <v>0</v>
      </c>
      <c r="CY63" s="287">
        <f t="shared" si="195"/>
        <v>0</v>
      </c>
      <c r="CZ63" s="513">
        <f t="shared" si="196"/>
        <v>-1</v>
      </c>
    </row>
    <row r="64" spans="1:108" s="29" customFormat="1" ht="16.2" customHeight="1">
      <c r="A64" s="141"/>
      <c r="B64" s="30"/>
      <c r="C64" s="516"/>
      <c r="D64" s="640"/>
      <c r="E64" s="275"/>
      <c r="F64" s="275"/>
      <c r="G64" s="275"/>
      <c r="H64" s="134"/>
      <c r="I64" s="134"/>
      <c r="J64" s="275"/>
      <c r="K64" s="134"/>
      <c r="L64" s="134"/>
      <c r="M64" s="275"/>
      <c r="N64" s="134"/>
      <c r="O64" s="134"/>
      <c r="P64" s="275"/>
      <c r="Q64" s="134"/>
      <c r="R64" s="134"/>
      <c r="S64" s="275"/>
      <c r="T64" s="134"/>
      <c r="U64" s="134"/>
      <c r="V64" s="275"/>
      <c r="W64" s="134"/>
      <c r="X64" s="134"/>
      <c r="Y64" s="275"/>
      <c r="Z64" s="134"/>
      <c r="AA64" s="134"/>
      <c r="AB64" s="275"/>
      <c r="AC64" s="134"/>
      <c r="AD64" s="275"/>
      <c r="AE64" s="275"/>
      <c r="AF64" s="275"/>
      <c r="AG64" s="275"/>
      <c r="AH64" s="275"/>
      <c r="AI64" s="275"/>
      <c r="AJ64" s="275"/>
      <c r="AK64" s="275"/>
      <c r="AL64" s="275"/>
      <c r="AM64" s="275"/>
      <c r="AN64" s="275"/>
      <c r="AO64" s="275"/>
      <c r="AP64" s="522">
        <f>ROUND(SUM(AP59:AP61),0)</f>
        <v>16465</v>
      </c>
      <c r="AQ64" s="523"/>
      <c r="AR64" s="524"/>
      <c r="AS64" s="522">
        <f>ROUND(SUM(AS59:AS61),0)</f>
        <v>18897</v>
      </c>
      <c r="AT64" s="523">
        <f t="shared" si="197"/>
        <v>0.14770725781961747</v>
      </c>
      <c r="AU64" s="527"/>
      <c r="AV64" s="528">
        <f>ROUND(SUM(AV59:AV61),0)</f>
        <v>22426</v>
      </c>
      <c r="AW64" s="523">
        <f t="shared" si="198"/>
        <v>0.1867492194528233</v>
      </c>
      <c r="AX64" s="527"/>
      <c r="AY64" s="528">
        <f>ROUND(SUM(AY59:AY61),0)</f>
        <v>25110</v>
      </c>
      <c r="AZ64" s="523">
        <f t="shared" si="199"/>
        <v>0.11968251137073049</v>
      </c>
      <c r="BA64" s="527"/>
      <c r="BB64" s="528">
        <f>ROUND(SUM(BB59:BB61),0)</f>
        <v>23398</v>
      </c>
      <c r="BC64" s="523">
        <f t="shared" si="200"/>
        <v>-6.8180007964954159E-2</v>
      </c>
      <c r="BD64" s="524"/>
      <c r="BE64" s="522">
        <f>ROUND(SUM(BE59:BE61),0)</f>
        <v>22445</v>
      </c>
      <c r="BF64" s="523">
        <f t="shared" si="201"/>
        <v>-4.0729976921104361E-2</v>
      </c>
      <c r="BG64" s="527">
        <f t="shared" si="179"/>
        <v>0.18775467005344759</v>
      </c>
      <c r="BH64" s="528">
        <f>ROUND(SUM(BH59:BH61),0)</f>
        <v>22394</v>
      </c>
      <c r="BI64" s="523">
        <f t="shared" si="202"/>
        <v>-2.2722209846290919E-3</v>
      </c>
      <c r="BJ64" s="527">
        <f t="shared" si="180"/>
        <v>-1.426915187728528E-3</v>
      </c>
      <c r="BK64" s="528">
        <f>ROUND(SUM(BK59:BK61),0)</f>
        <v>21607</v>
      </c>
      <c r="BL64" s="523">
        <f t="shared" si="203"/>
        <v>-3.5143341966598185E-2</v>
      </c>
      <c r="BM64" s="527">
        <f t="shared" si="181"/>
        <v>-0.13950617283950617</v>
      </c>
      <c r="BN64" s="528">
        <f>ROUND(SUM(BN59:BN61),0)</f>
        <v>19434</v>
      </c>
      <c r="BO64" s="523">
        <f t="shared" si="204"/>
        <v>-0.10056925996204935</v>
      </c>
      <c r="BP64" s="524">
        <f t="shared" si="182"/>
        <v>-0.16941618941789893</v>
      </c>
      <c r="BQ64" s="522">
        <f>ROUND(SUM(BQ59:BQ63),0)</f>
        <v>19356</v>
      </c>
      <c r="BR64" s="523">
        <f t="shared" si="205"/>
        <v>-4.0135844396418374E-3</v>
      </c>
      <c r="BS64" s="527">
        <f t="shared" si="183"/>
        <v>-0.13762530630429937</v>
      </c>
      <c r="BT64" s="528">
        <f>ROUND(SUM(BT59:BT63),0)</f>
        <v>17860</v>
      </c>
      <c r="BU64" s="523">
        <f t="shared" si="206"/>
        <v>-7.7288696011572622E-2</v>
      </c>
      <c r="BV64" s="527">
        <f t="shared" si="184"/>
        <v>-0.20246494596766995</v>
      </c>
      <c r="BW64" s="528">
        <f>ROUND(SUM(BW59:BW63),0)</f>
        <v>16737</v>
      </c>
      <c r="BX64" s="523">
        <f t="shared" si="207"/>
        <v>-6.2877939529675242E-2</v>
      </c>
      <c r="BY64" s="527">
        <f t="shared" si="185"/>
        <v>-0.22538991993335489</v>
      </c>
      <c r="BZ64" s="528">
        <f>ROUND(SUM(BZ59:BZ63),0)</f>
        <v>30000</v>
      </c>
      <c r="CA64" s="523">
        <f t="shared" si="208"/>
        <v>0.7924359204158451</v>
      </c>
      <c r="CB64" s="524">
        <f t="shared" si="186"/>
        <v>0.54368632293917885</v>
      </c>
      <c r="CC64" s="522">
        <f>ROUND(SUM(CC59:CC63),0)</f>
        <v>30415</v>
      </c>
      <c r="CD64" s="523">
        <f t="shared" si="209"/>
        <v>1.3833333333333364E-2</v>
      </c>
      <c r="CE64" s="527">
        <f t="shared" si="210"/>
        <v>0.57134738582351718</v>
      </c>
      <c r="CF64" s="528">
        <f>ROUND(SUM(CF59:CF63),0)</f>
        <v>30085</v>
      </c>
      <c r="CG64" s="523">
        <f t="shared" si="30"/>
        <v>-1.0849909584086825E-2</v>
      </c>
      <c r="CH64" s="527">
        <f t="shared" si="31"/>
        <v>0.68449048152295622</v>
      </c>
      <c r="CI64" s="528">
        <f>ROUND(SUM(CI59:CI63),0)</f>
        <v>31261</v>
      </c>
      <c r="CJ64" s="523">
        <f t="shared" si="187"/>
        <v>3.9089247133122784E-2</v>
      </c>
      <c r="CK64" s="527">
        <f t="shared" si="188"/>
        <v>0.86777797693732439</v>
      </c>
      <c r="CL64" s="528">
        <f>ROUND(SUM(CL59:CL63),0)</f>
        <v>30097</v>
      </c>
      <c r="CM64" s="523">
        <f t="shared" si="189"/>
        <v>-3.7234893317552253E-2</v>
      </c>
      <c r="CN64" s="527">
        <f t="shared" si="190"/>
        <v>3.2333333333334213E-3</v>
      </c>
      <c r="CO64" s="522">
        <f>ROUND(SUM(CO59:CO63),0)</f>
        <v>59120</v>
      </c>
      <c r="CP64" s="523">
        <f t="shared" si="211"/>
        <v>0.96431538027045893</v>
      </c>
      <c r="CQ64" s="523">
        <f t="shared" si="212"/>
        <v>0.9437777412460957</v>
      </c>
      <c r="CR64" s="717">
        <f>ROUND(SUM(CR59:CR63),0)</f>
        <v>64897</v>
      </c>
      <c r="CS64" s="523">
        <f t="shared" si="191"/>
        <v>9.7716508795669732E-2</v>
      </c>
      <c r="CT64" s="527">
        <f t="shared" si="192"/>
        <v>1.1571214891141763</v>
      </c>
      <c r="CU64" s="717">
        <f>ROUND(SUM(CU59:CU63),0)</f>
        <v>0</v>
      </c>
      <c r="CV64" s="523">
        <f t="shared" si="193"/>
        <v>-1</v>
      </c>
      <c r="CW64" s="527">
        <f t="shared" si="194"/>
        <v>-1</v>
      </c>
      <c r="CX64" s="717">
        <f>ROUND(SUM(CX59:CX63),0)</f>
        <v>0</v>
      </c>
      <c r="CY64" s="523">
        <f t="shared" si="195"/>
        <v>0</v>
      </c>
      <c r="CZ64" s="524">
        <f t="shared" si="196"/>
        <v>-1</v>
      </c>
      <c r="DC64" s="8"/>
      <c r="DD64" s="8"/>
    </row>
    <row r="65" spans="1:108" ht="16.2" customHeight="1">
      <c r="C65" s="425"/>
      <c r="D65" s="425"/>
      <c r="E65" s="275"/>
      <c r="F65" s="275"/>
      <c r="G65" s="275"/>
      <c r="H65" s="134"/>
      <c r="I65" s="134"/>
      <c r="K65" s="134"/>
      <c r="L65" s="134"/>
      <c r="N65" s="134"/>
      <c r="O65" s="134"/>
      <c r="Q65" s="134"/>
      <c r="R65" s="134"/>
      <c r="T65" s="134"/>
      <c r="U65" s="134"/>
      <c r="W65" s="134"/>
      <c r="X65" s="134"/>
      <c r="Z65" s="134"/>
      <c r="AA65" s="134"/>
      <c r="AC65" s="134"/>
      <c r="AD65" s="275"/>
      <c r="AG65" s="275"/>
      <c r="AJ65" s="275"/>
      <c r="AM65" s="275"/>
      <c r="AP65" s="425" t="b">
        <f>AP58=AP64</f>
        <v>1</v>
      </c>
      <c r="AR65" s="134"/>
      <c r="AS65" s="425" t="b">
        <f>AS58=AS64</f>
        <v>1</v>
      </c>
      <c r="AU65" s="134"/>
      <c r="AV65" s="425" t="b">
        <f>AV58=AV64</f>
        <v>1</v>
      </c>
      <c r="AX65" s="134"/>
      <c r="AY65" s="425" t="b">
        <f>AY58=AY64</f>
        <v>1</v>
      </c>
      <c r="BA65" s="134"/>
      <c r="BB65" s="425" t="b">
        <f>BB58=BB64</f>
        <v>1</v>
      </c>
      <c r="BD65" s="134"/>
      <c r="BE65" s="425" t="b">
        <f>BE58=BE64</f>
        <v>1</v>
      </c>
      <c r="BG65" s="134"/>
      <c r="BH65" s="425" t="b">
        <f>BH58=BH64</f>
        <v>1</v>
      </c>
      <c r="BJ65" s="134"/>
      <c r="BK65" s="425" t="b">
        <f>BK58=BK64</f>
        <v>1</v>
      </c>
      <c r="BM65" s="134"/>
      <c r="BN65" s="425" t="b">
        <f>BN58=BN64</f>
        <v>1</v>
      </c>
      <c r="BP65" s="134"/>
      <c r="BQ65" s="425" t="b">
        <f>BQ58=BQ64</f>
        <v>1</v>
      </c>
      <c r="BS65" s="134"/>
      <c r="BT65" s="425" t="b">
        <f>BT58=BT64</f>
        <v>1</v>
      </c>
      <c r="BV65" s="134"/>
      <c r="BW65" s="425" t="b">
        <f>BW58=BW64</f>
        <v>1</v>
      </c>
      <c r="BY65" s="134"/>
      <c r="BZ65" s="425" t="b">
        <f>BZ58=BZ64</f>
        <v>1</v>
      </c>
      <c r="CB65" s="134"/>
      <c r="CC65" s="425" t="b">
        <f>CC58=CC64</f>
        <v>1</v>
      </c>
      <c r="CE65" s="134"/>
      <c r="CF65" s="425" t="b">
        <f>CF58=CF64</f>
        <v>1</v>
      </c>
      <c r="CH65" s="134"/>
      <c r="CI65" s="425" t="b">
        <f>CI58=CI64</f>
        <v>1</v>
      </c>
      <c r="CK65" s="134"/>
      <c r="CL65" s="425" t="b">
        <f>CL58=CL64</f>
        <v>1</v>
      </c>
      <c r="CN65" s="134"/>
      <c r="CO65" s="425" t="b">
        <f>CO58=CO64</f>
        <v>1</v>
      </c>
      <c r="CQ65" s="134"/>
      <c r="CR65" s="425" t="b">
        <f>CR58=CR64</f>
        <v>1</v>
      </c>
      <c r="CT65" s="134"/>
      <c r="CU65" s="425" t="b">
        <f>CU58=CU64</f>
        <v>1</v>
      </c>
      <c r="CW65" s="134"/>
      <c r="CX65" s="425" t="b">
        <f>CX58=CX64</f>
        <v>1</v>
      </c>
      <c r="CZ65" s="134"/>
    </row>
    <row r="66" spans="1:108" ht="16.2" customHeight="1">
      <c r="C66" s="425"/>
      <c r="D66" s="425"/>
      <c r="E66" s="275"/>
      <c r="F66" s="275"/>
      <c r="G66" s="275"/>
      <c r="H66" s="134"/>
      <c r="I66" s="134"/>
      <c r="K66" s="134"/>
      <c r="L66" s="134"/>
      <c r="N66" s="134"/>
      <c r="O66" s="134"/>
      <c r="Q66" s="134"/>
      <c r="R66" s="134"/>
      <c r="T66" s="134"/>
      <c r="U66" s="134"/>
      <c r="W66" s="134"/>
      <c r="X66" s="134"/>
      <c r="Z66" s="134"/>
      <c r="AA66" s="134"/>
      <c r="AC66" s="134"/>
      <c r="AD66" s="275"/>
      <c r="AG66" s="275"/>
      <c r="AJ66" s="275"/>
      <c r="AM66" s="275"/>
      <c r="AP66" s="425"/>
      <c r="AR66" s="134"/>
      <c r="AS66" s="425"/>
      <c r="AU66" s="134"/>
      <c r="AV66" s="425"/>
      <c r="AX66" s="134"/>
      <c r="AY66" s="425"/>
      <c r="BA66" s="134"/>
      <c r="BB66" s="425"/>
      <c r="BD66" s="134"/>
      <c r="BE66" s="425"/>
      <c r="BG66" s="134"/>
      <c r="BH66" s="425"/>
      <c r="BJ66" s="134"/>
      <c r="BK66" s="425"/>
      <c r="BM66" s="134"/>
      <c r="BN66" s="425"/>
      <c r="BP66" s="134"/>
      <c r="BQ66" s="425"/>
      <c r="BS66" s="134"/>
      <c r="BT66" s="425"/>
      <c r="BV66" s="134"/>
      <c r="BW66" s="425"/>
      <c r="BY66" s="134"/>
      <c r="BZ66" s="425"/>
      <c r="CB66" s="134"/>
      <c r="CC66" s="425"/>
      <c r="CE66" s="134"/>
      <c r="CF66" s="425"/>
      <c r="CH66" s="134"/>
      <c r="CI66" s="425"/>
      <c r="CK66" s="134"/>
      <c r="CL66" s="425"/>
      <c r="CN66" s="134"/>
      <c r="CO66" s="425"/>
      <c r="CQ66" s="134"/>
      <c r="CR66" s="425"/>
      <c r="CT66" s="134"/>
      <c r="CU66" s="425"/>
      <c r="CW66" s="134"/>
      <c r="CX66" s="425"/>
      <c r="CZ66" s="134"/>
    </row>
    <row r="67" spans="1:108" ht="16.2" customHeight="1">
      <c r="C67" s="514" t="s">
        <v>16</v>
      </c>
      <c r="D67" s="638" t="s">
        <v>17</v>
      </c>
      <c r="E67" s="275"/>
      <c r="F67" s="275"/>
      <c r="G67" s="275"/>
      <c r="H67" s="134"/>
      <c r="I67" s="134"/>
      <c r="K67" s="134"/>
      <c r="L67" s="134"/>
      <c r="N67" s="134"/>
      <c r="O67" s="134"/>
      <c r="Q67" s="134"/>
      <c r="R67" s="134"/>
      <c r="T67" s="134"/>
      <c r="U67" s="134"/>
      <c r="W67" s="134"/>
      <c r="X67" s="134"/>
      <c r="Z67" s="134"/>
      <c r="AA67" s="134"/>
      <c r="AC67" s="134"/>
      <c r="AD67" s="275"/>
      <c r="AG67" s="275"/>
      <c r="AJ67" s="275"/>
      <c r="AM67" s="275"/>
      <c r="AP67" s="518">
        <f>ROUND(AP12,0)</f>
        <v>5715</v>
      </c>
      <c r="AQ67" s="519"/>
      <c r="AR67" s="520"/>
      <c r="AS67" s="518">
        <f>ROUND(AS12,0)</f>
        <v>8541</v>
      </c>
      <c r="AT67" s="519">
        <f>IFERROR(AS67/AP67-1,0)</f>
        <v>0.49448818897637792</v>
      </c>
      <c r="AU67" s="525"/>
      <c r="AV67" s="526">
        <f>ROUND(AV12,0)</f>
        <v>3565</v>
      </c>
      <c r="AW67" s="519">
        <f>IFERROR(AV67/AS67-1,0)</f>
        <v>-0.58260156890293879</v>
      </c>
      <c r="AX67" s="525"/>
      <c r="AY67" s="526">
        <f>ROUND(AY12,0)</f>
        <v>3332</v>
      </c>
      <c r="AZ67" s="519">
        <f>IFERROR(AY67/AV67-1,0)</f>
        <v>-6.5357643758765738E-2</v>
      </c>
      <c r="BA67" s="525"/>
      <c r="BB67" s="526">
        <f>ROUND(BB12,0)</f>
        <v>2705</v>
      </c>
      <c r="BC67" s="519">
        <f>IFERROR(BB67/AY67-1,0)</f>
        <v>-0.18817527010804325</v>
      </c>
      <c r="BD67" s="520"/>
      <c r="BE67" s="518">
        <f>ROUND(BE12,0)</f>
        <v>3831</v>
      </c>
      <c r="BF67" s="519">
        <f>IFERROR(BE67/BB67-1,0)</f>
        <v>0.41626617375231056</v>
      </c>
      <c r="BG67" s="525">
        <f>IFERROR(BE67/AS67-1,)</f>
        <v>-0.5514576747453459</v>
      </c>
      <c r="BH67" s="526">
        <f>ROUND(BH12,0)</f>
        <v>3223</v>
      </c>
      <c r="BI67" s="519">
        <f>IFERROR(BH67/BE67-1,0)</f>
        <v>-0.15870529887757767</v>
      </c>
      <c r="BJ67" s="525">
        <f>IFERROR(BH67/AV67-1,)</f>
        <v>-9.5932678821879391E-2</v>
      </c>
      <c r="BK67" s="526">
        <f>ROUND(BK12,0)</f>
        <v>10766</v>
      </c>
      <c r="BL67" s="519">
        <f>IFERROR(BK67/BH67-1,0)</f>
        <v>2.3403661185231153</v>
      </c>
      <c r="BM67" s="525">
        <f>IFERROR(BK67/AY67-1,)</f>
        <v>2.23109243697479</v>
      </c>
      <c r="BN67" s="526">
        <f>ROUND(BN12,0)</f>
        <v>10277</v>
      </c>
      <c r="BO67" s="519">
        <f>IFERROR(BN67/BK67-1,0)</f>
        <v>-4.5420769087869184E-2</v>
      </c>
      <c r="BP67" s="520">
        <f>IFERROR(BN67/BB67-1,)</f>
        <v>2.7992606284658041</v>
      </c>
      <c r="BQ67" s="518">
        <f>ROUND(BQ12,0)</f>
        <v>9880</v>
      </c>
      <c r="BR67" s="519">
        <f>IFERROR(BQ67/BN67-1,0)</f>
        <v>-3.8629950374622912E-2</v>
      </c>
      <c r="BS67" s="525">
        <f>IFERROR(BQ67/BE67-1,)</f>
        <v>1.5789611067606368</v>
      </c>
      <c r="BT67" s="526">
        <f>ROUND(BT12,0)</f>
        <v>1697</v>
      </c>
      <c r="BU67" s="519">
        <f>IFERROR(BT67/BQ67-1,0)</f>
        <v>-0.82823886639676114</v>
      </c>
      <c r="BV67" s="525">
        <f>IFERROR(BT67/BH67-1,)</f>
        <v>-0.47347192057089671</v>
      </c>
      <c r="BW67" s="526">
        <f>ROUND(BW12,0)</f>
        <v>3526</v>
      </c>
      <c r="BX67" s="519">
        <f>IFERROR(BW67/BT67-1,0)</f>
        <v>1.0777843252799055</v>
      </c>
      <c r="BY67" s="525">
        <f>IFERROR(BW67/BK67-1,)</f>
        <v>-0.67248746052387143</v>
      </c>
      <c r="BZ67" s="526">
        <f>ROUND(BZ12,0)</f>
        <v>5609</v>
      </c>
      <c r="CA67" s="519">
        <f>IFERROR(BZ67/BW67-1,0)</f>
        <v>0.59075439591605217</v>
      </c>
      <c r="CB67" s="520">
        <f>IFERROR(BZ67/BN67-1,)</f>
        <v>-0.45421815704972268</v>
      </c>
      <c r="CC67" s="518">
        <f>ROUND(CC12,0)</f>
        <v>5181</v>
      </c>
      <c r="CD67" s="519">
        <f>IFERROR(CC67/BZ67-1,0)</f>
        <v>-7.6305936887145709E-2</v>
      </c>
      <c r="CE67" s="525">
        <f>IFERROR(CC67/BQ67-1,)</f>
        <v>-0.47560728744939273</v>
      </c>
      <c r="CF67" s="526">
        <f>ROUND(CF12,0)</f>
        <v>6759</v>
      </c>
      <c r="CG67" s="519">
        <f t="shared" si="30"/>
        <v>0.30457440648523448</v>
      </c>
      <c r="CH67" s="525">
        <f t="shared" si="31"/>
        <v>2.9829110194460813</v>
      </c>
      <c r="CI67" s="526">
        <f>ROUND(CI12,0)</f>
        <v>7384</v>
      </c>
      <c r="CJ67" s="519">
        <f t="shared" ref="CJ67:CJ71" si="213">IFERROR(CI67/CF67-1,0)</f>
        <v>9.2469300192336235E-2</v>
      </c>
      <c r="CK67" s="525">
        <f t="shared" ref="CK67:CK71" si="214">IFERROR(CI67/BW67-1,)</f>
        <v>1.0941576857629043</v>
      </c>
      <c r="CL67" s="526">
        <f>ROUND(CL12,0)</f>
        <v>6124</v>
      </c>
      <c r="CM67" s="519">
        <f t="shared" ref="CM67:CM71" si="215">IFERROR(CL67/CI67-1,0)</f>
        <v>-0.17063921993499453</v>
      </c>
      <c r="CN67" s="525">
        <f t="shared" ref="CN67:CN71" si="216">IFERROR(CL67/BZ67-1,)</f>
        <v>9.181672312355138E-2</v>
      </c>
      <c r="CO67" s="518">
        <f>ROUND(CO12,0)</f>
        <v>7726</v>
      </c>
      <c r="CP67" s="519">
        <f>IFERROR(CO67/CL67-1,0)</f>
        <v>0.26159372958850424</v>
      </c>
      <c r="CQ67" s="519">
        <f>IFERROR(CO67/CC67-1,)</f>
        <v>0.49121791160007722</v>
      </c>
      <c r="CR67" s="715">
        <f>ROUND(CR12,0)</f>
        <v>14611</v>
      </c>
      <c r="CS67" s="519">
        <f t="shared" ref="CS67:CS71" si="217">IFERROR(CR67/CO67-1,0)</f>
        <v>0.89114677711623091</v>
      </c>
      <c r="CT67" s="525">
        <f t="shared" ref="CT67:CT71" si="218">IFERROR(CR67/CF67-1,)</f>
        <v>1.1617103121763575</v>
      </c>
      <c r="CU67" s="715">
        <f>ROUND(CU12,0)</f>
        <v>0</v>
      </c>
      <c r="CV67" s="519">
        <f t="shared" ref="CV67:CV71" si="219">IFERROR(CU67/CR67-1,0)</f>
        <v>-1</v>
      </c>
      <c r="CW67" s="525">
        <f t="shared" ref="CW67:CW71" si="220">IFERROR(CU67/CI67-1,)</f>
        <v>-1</v>
      </c>
      <c r="CX67" s="715">
        <f>ROUND(CX12,0)</f>
        <v>0</v>
      </c>
      <c r="CY67" s="519">
        <f t="shared" ref="CY67:CY71" si="221">IFERROR(CX67/CU67-1,0)</f>
        <v>0</v>
      </c>
      <c r="CZ67" s="520">
        <f t="shared" ref="CZ67:CZ71" si="222">IFERROR(CX67/CL67-1,)</f>
        <v>-1</v>
      </c>
    </row>
    <row r="68" spans="1:108" ht="16.2" customHeight="1">
      <c r="C68" s="512" t="s">
        <v>35</v>
      </c>
      <c r="D68" s="639" t="s">
        <v>75</v>
      </c>
      <c r="E68" s="275"/>
      <c r="F68" s="275"/>
      <c r="G68" s="275"/>
      <c r="H68" s="134"/>
      <c r="I68" s="134"/>
      <c r="K68" s="134"/>
      <c r="L68" s="134"/>
      <c r="N68" s="134"/>
      <c r="O68" s="134"/>
      <c r="Q68" s="134"/>
      <c r="R68" s="134"/>
      <c r="T68" s="134"/>
      <c r="U68" s="134"/>
      <c r="W68" s="134"/>
      <c r="X68" s="134"/>
      <c r="Z68" s="134"/>
      <c r="AA68" s="134"/>
      <c r="AC68" s="134"/>
      <c r="AD68" s="275"/>
      <c r="AG68" s="275"/>
      <c r="AJ68" s="275"/>
      <c r="AM68" s="275"/>
      <c r="AP68" s="521">
        <v>3238.7060000000001</v>
      </c>
      <c r="AQ68" s="287"/>
      <c r="AR68" s="513"/>
      <c r="AS68" s="521">
        <v>4927.4920000000002</v>
      </c>
      <c r="AT68" s="287">
        <f>IFERROR(AS68/AP68-1,0)</f>
        <v>0.52143850043813789</v>
      </c>
      <c r="AU68" s="288"/>
      <c r="AV68" s="467">
        <v>2778.4458119999999</v>
      </c>
      <c r="AW68" s="287">
        <f>IFERROR(AV68/AS68-1,0)</f>
        <v>-0.43613387662526903</v>
      </c>
      <c r="AX68" s="288"/>
      <c r="AY68" s="467">
        <v>3147.6545970000002</v>
      </c>
      <c r="AZ68" s="287">
        <f>IFERROR(AY68/AV68-1,0)</f>
        <v>0.13288320520969021</v>
      </c>
      <c r="BA68" s="288"/>
      <c r="BB68" s="467">
        <v>2442.1568629999997</v>
      </c>
      <c r="BC68" s="287">
        <f>IFERROR(BB68/AY68-1,0)</f>
        <v>-0.2241344189011093</v>
      </c>
      <c r="BD68" s="513"/>
      <c r="BE68" s="521">
        <v>1800.3121640000002</v>
      </c>
      <c r="BF68" s="287">
        <f>IFERROR(BE68/BB68-1,0)</f>
        <v>-0.26281878478991039</v>
      </c>
      <c r="BG68" s="288">
        <f>IFERROR(BE68/AS68-1,)</f>
        <v>-0.63463925177351888</v>
      </c>
      <c r="BH68" s="467">
        <v>1469.2983240000001</v>
      </c>
      <c r="BI68" s="287">
        <f>IFERROR(BH68/BE68-1,0)</f>
        <v>-0.1838646911458629</v>
      </c>
      <c r="BJ68" s="288">
        <f>IFERROR(BH68/AV68-1,)</f>
        <v>-0.47117978056143561</v>
      </c>
      <c r="BK68" s="467">
        <v>9665.0350920000001</v>
      </c>
      <c r="BL68" s="287">
        <f>IFERROR(BK68/BH68-1,0)</f>
        <v>5.5779936818331244</v>
      </c>
      <c r="BM68" s="288">
        <f>IFERROR(BK68/AY68-1,)</f>
        <v>2.0705513563056295</v>
      </c>
      <c r="BN68" s="467">
        <v>9682.9439999999995</v>
      </c>
      <c r="BO68" s="287">
        <f>IFERROR(BN68/BK68-1,0)</f>
        <v>1.8529584041369063E-3</v>
      </c>
      <c r="BP68" s="513">
        <f>IFERROR(BN68/BB68-1,)</f>
        <v>2.9649148450297562</v>
      </c>
      <c r="BQ68" s="521">
        <v>9432.0598339999997</v>
      </c>
      <c r="BR68" s="287">
        <f>IFERROR(BQ68/BN68-1,0)</f>
        <v>-2.5909905706363645E-2</v>
      </c>
      <c r="BS68" s="288">
        <f>IFERROR(BQ68/BE68-1,)</f>
        <v>4.2391246488295122</v>
      </c>
      <c r="BT68" s="467">
        <v>1201.1719640000001</v>
      </c>
      <c r="BU68" s="287">
        <f>IFERROR(BT68/BQ68-1,0)</f>
        <v>-0.87265009073944766</v>
      </c>
      <c r="BV68" s="288">
        <f>IFERROR(BT68/BH68-1,)</f>
        <v>-0.18248599050331449</v>
      </c>
      <c r="BW68" s="467">
        <v>1309.7844679999998</v>
      </c>
      <c r="BX68" s="287">
        <f>IFERROR(BW68/BT68-1,0)</f>
        <v>9.042211045145554E-2</v>
      </c>
      <c r="BY68" s="288">
        <f>IFERROR(BW68/BK68-1,)</f>
        <v>-0.86448218185114067</v>
      </c>
      <c r="BZ68" s="467">
        <v>3995.643</v>
      </c>
      <c r="CA68" s="287">
        <f>IFERROR(BZ68/BW68-1,0)</f>
        <v>2.0506110719889836</v>
      </c>
      <c r="CB68" s="513">
        <f>IFERROR(BZ68/BN68-1,)</f>
        <v>-0.58735246222636417</v>
      </c>
      <c r="CC68" s="521">
        <v>3777.31</v>
      </c>
      <c r="CD68" s="287">
        <f>IFERROR(CC68/BZ68-1,0)</f>
        <v>-5.4642769636826904E-2</v>
      </c>
      <c r="CE68" s="288">
        <f>IFERROR(CC68/BQ68-1,)</f>
        <v>-0.59952438104942574</v>
      </c>
      <c r="CF68" s="467">
        <v>4689</v>
      </c>
      <c r="CG68" s="287">
        <f t="shared" si="30"/>
        <v>0.24135959187887668</v>
      </c>
      <c r="CH68" s="288">
        <f t="shared" si="31"/>
        <v>2.9036875156370194</v>
      </c>
      <c r="CI68" s="467">
        <v>4812.1109999999999</v>
      </c>
      <c r="CJ68" s="287">
        <f t="shared" si="213"/>
        <v>2.6255278310940433E-2</v>
      </c>
      <c r="CK68" s="288">
        <f t="shared" si="214"/>
        <v>2.6739716476772273</v>
      </c>
      <c r="CL68" s="467">
        <v>4012.476842</v>
      </c>
      <c r="CM68" s="287">
        <f t="shared" si="215"/>
        <v>-0.16617117892750188</v>
      </c>
      <c r="CN68" s="288">
        <f t="shared" si="216"/>
        <v>4.2130495642378474E-3</v>
      </c>
      <c r="CO68" s="521">
        <v>5074.5919999999996</v>
      </c>
      <c r="CP68" s="287">
        <f>IFERROR(CO68/CL68-1,0)</f>
        <v>0.26470312473394686</v>
      </c>
      <c r="CQ68" s="287">
        <f>IFERROR(CO68/CC68-1,)</f>
        <v>0.34344070251051662</v>
      </c>
      <c r="CR68" s="716">
        <v>7715.88</v>
      </c>
      <c r="CS68" s="287">
        <f t="shared" si="217"/>
        <v>0.52049268197325049</v>
      </c>
      <c r="CT68" s="288">
        <f t="shared" si="218"/>
        <v>0.64552783109404999</v>
      </c>
      <c r="CU68" s="716">
        <v>0</v>
      </c>
      <c r="CV68" s="287">
        <f t="shared" si="219"/>
        <v>-1</v>
      </c>
      <c r="CW68" s="288">
        <f t="shared" si="220"/>
        <v>-1</v>
      </c>
      <c r="CX68" s="716">
        <v>0</v>
      </c>
      <c r="CY68" s="287">
        <f t="shared" si="221"/>
        <v>0</v>
      </c>
      <c r="CZ68" s="513">
        <f t="shared" si="222"/>
        <v>-1</v>
      </c>
    </row>
    <row r="69" spans="1:108" ht="16.2" customHeight="1">
      <c r="C69" s="512" t="s">
        <v>36</v>
      </c>
      <c r="D69" s="639" t="s">
        <v>76</v>
      </c>
      <c r="E69" s="275"/>
      <c r="F69" s="275"/>
      <c r="G69" s="275"/>
      <c r="H69" s="134"/>
      <c r="I69" s="134"/>
      <c r="K69" s="134"/>
      <c r="L69" s="134"/>
      <c r="N69" s="134"/>
      <c r="O69" s="134"/>
      <c r="Q69" s="134"/>
      <c r="R69" s="134"/>
      <c r="T69" s="134"/>
      <c r="U69" s="134"/>
      <c r="W69" s="134"/>
      <c r="X69" s="134"/>
      <c r="Z69" s="134"/>
      <c r="AA69" s="134"/>
      <c r="AC69" s="134"/>
      <c r="AD69" s="275"/>
      <c r="AG69" s="275"/>
      <c r="AJ69" s="275"/>
      <c r="AM69" s="275"/>
      <c r="AP69" s="521">
        <v>1110.9680000000001</v>
      </c>
      <c r="AQ69" s="287"/>
      <c r="AR69" s="513"/>
      <c r="AS69" s="521">
        <v>1090.143</v>
      </c>
      <c r="AT69" s="287">
        <f>IFERROR(AS69/AP69-1,0)</f>
        <v>-1.8744914344967722E-2</v>
      </c>
      <c r="AU69" s="288"/>
      <c r="AV69" s="467">
        <v>750.05391799999995</v>
      </c>
      <c r="AW69" s="287">
        <f>IFERROR(AV69/AS69-1,0)</f>
        <v>-0.31196740427631975</v>
      </c>
      <c r="AX69" s="288"/>
      <c r="AY69" s="467">
        <v>179.670503</v>
      </c>
      <c r="AZ69" s="287">
        <f>IFERROR(AY69/AV69-1,0)</f>
        <v>-0.76045655027162995</v>
      </c>
      <c r="BA69" s="288"/>
      <c r="BB69" s="467">
        <v>258.60925700000001</v>
      </c>
      <c r="BC69" s="287">
        <f>IFERROR(BB69/AY69-1,0)</f>
        <v>0.43935288587687671</v>
      </c>
      <c r="BD69" s="513"/>
      <c r="BE69" s="521">
        <v>2026.11022</v>
      </c>
      <c r="BF69" s="287">
        <f>IFERROR(BE69/BB69-1,0)</f>
        <v>6.8346391908159729</v>
      </c>
      <c r="BG69" s="288">
        <f>IFERROR(BE69/AS69-1,)</f>
        <v>0.85857288447478908</v>
      </c>
      <c r="BH69" s="467">
        <v>1753.5799730000001</v>
      </c>
      <c r="BI69" s="287">
        <f>IFERROR(BH69/BE69-1,0)</f>
        <v>-0.13450909250139409</v>
      </c>
      <c r="BJ69" s="288">
        <f>IFERROR(BH69/AV69-1,)</f>
        <v>1.3379385547053433</v>
      </c>
      <c r="BK69" s="467">
        <v>1101.001565</v>
      </c>
      <c r="BL69" s="287">
        <f>IFERROR(BK69/BH69-1,0)</f>
        <v>-0.37214065970631383</v>
      </c>
      <c r="BM69" s="288">
        <f>IFERROR(BK69/AY69-1,)</f>
        <v>5.1278927070182467</v>
      </c>
      <c r="BN69" s="467">
        <v>594.26599999999996</v>
      </c>
      <c r="BO69" s="287">
        <f>IFERROR(BN69/BK69-1,0)</f>
        <v>-0.46024963188857959</v>
      </c>
      <c r="BP69" s="513">
        <f>IFERROR(BN69/BB69-1,)</f>
        <v>1.2979301162448333</v>
      </c>
      <c r="BQ69" s="521">
        <v>447.84499099999999</v>
      </c>
      <c r="BR69" s="287">
        <f>IFERROR(BQ69/BN69-1,0)</f>
        <v>-0.24638967903262177</v>
      </c>
      <c r="BS69" s="288">
        <f>IFERROR(BQ69/BE69-1,)</f>
        <v>-0.7789631646989077</v>
      </c>
      <c r="BT69" s="467">
        <v>495.87177300000002</v>
      </c>
      <c r="BU69" s="287">
        <f>IFERROR(BT69/BQ69-1,0)</f>
        <v>0.10723974358351152</v>
      </c>
      <c r="BV69" s="288">
        <f>IFERROR(BT69/BH69-1,)</f>
        <v>-0.71722317736574648</v>
      </c>
      <c r="BW69" s="467">
        <v>2215.8453509999999</v>
      </c>
      <c r="BX69" s="287">
        <f>IFERROR(BW69/BT69-1,0)</f>
        <v>3.4685853715654025</v>
      </c>
      <c r="BY69" s="288">
        <f>IFERROR(BW69/BK69-1,)</f>
        <v>1.012572389940245</v>
      </c>
      <c r="BZ69" s="467">
        <v>1612.788</v>
      </c>
      <c r="CA69" s="287">
        <f>IFERROR(BZ69/BW69-1,0)</f>
        <v>-0.27215678690204759</v>
      </c>
      <c r="CB69" s="513">
        <f>IFERROR(BZ69/BN69-1,)</f>
        <v>1.7139159904823766</v>
      </c>
      <c r="CC69" s="521">
        <v>1396.04</v>
      </c>
      <c r="CD69" s="287">
        <f>IFERROR(CC69/BZ69-1,0)</f>
        <v>-0.13439336106171429</v>
      </c>
      <c r="CE69" s="288">
        <f>IFERROR(CC69/BQ69-1,)</f>
        <v>2.1172392860368063</v>
      </c>
      <c r="CF69" s="467">
        <v>2057</v>
      </c>
      <c r="CG69" s="287">
        <f t="shared" si="30"/>
        <v>0.47345348270823195</v>
      </c>
      <c r="CH69" s="288">
        <f t="shared" si="31"/>
        <v>3.1482498339343872</v>
      </c>
      <c r="CI69" s="467">
        <v>2534.7139999999999</v>
      </c>
      <c r="CJ69" s="287">
        <f t="shared" si="213"/>
        <v>0.23223821098687414</v>
      </c>
      <c r="CK69" s="288">
        <f t="shared" si="214"/>
        <v>0.143903837357646</v>
      </c>
      <c r="CL69" s="467">
        <v>2111.3934789999998</v>
      </c>
      <c r="CM69" s="287">
        <f t="shared" si="215"/>
        <v>-0.16700918565171463</v>
      </c>
      <c r="CN69" s="288">
        <f t="shared" si="216"/>
        <v>0.30915748319059899</v>
      </c>
      <c r="CO69" s="521">
        <v>2529.078</v>
      </c>
      <c r="CP69" s="287">
        <f>IFERROR(CO69/CL69-1,0)</f>
        <v>0.19782410297005582</v>
      </c>
      <c r="CQ69" s="287">
        <f>IFERROR(CO69/CC69-1,)</f>
        <v>0.81160854989828368</v>
      </c>
      <c r="CR69" s="716">
        <v>1653.317</v>
      </c>
      <c r="CS69" s="287">
        <f t="shared" si="217"/>
        <v>-0.34627678545303864</v>
      </c>
      <c r="CT69" s="288">
        <f t="shared" si="218"/>
        <v>-0.19624842002916865</v>
      </c>
      <c r="CU69" s="716">
        <v>0</v>
      </c>
      <c r="CV69" s="287">
        <f t="shared" si="219"/>
        <v>-1</v>
      </c>
      <c r="CW69" s="288">
        <f t="shared" si="220"/>
        <v>-1</v>
      </c>
      <c r="CX69" s="716">
        <v>0</v>
      </c>
      <c r="CY69" s="287">
        <f t="shared" si="221"/>
        <v>0</v>
      </c>
      <c r="CZ69" s="513">
        <f t="shared" si="222"/>
        <v>-1</v>
      </c>
    </row>
    <row r="70" spans="1:108" ht="16.2" customHeight="1">
      <c r="C70" s="512" t="s">
        <v>37</v>
      </c>
      <c r="D70" s="639" t="s">
        <v>38</v>
      </c>
      <c r="E70" s="275"/>
      <c r="F70" s="275"/>
      <c r="G70" s="275"/>
      <c r="H70" s="134"/>
      <c r="I70" s="134"/>
      <c r="K70" s="134"/>
      <c r="L70" s="134"/>
      <c r="N70" s="134"/>
      <c r="O70" s="134"/>
      <c r="Q70" s="134"/>
      <c r="R70" s="134"/>
      <c r="T70" s="134"/>
      <c r="U70" s="134"/>
      <c r="W70" s="134"/>
      <c r="X70" s="134"/>
      <c r="Z70" s="134"/>
      <c r="AA70" s="134"/>
      <c r="AC70" s="134"/>
      <c r="AD70" s="275"/>
      <c r="AG70" s="275"/>
      <c r="AJ70" s="275"/>
      <c r="AM70" s="275"/>
      <c r="AP70" s="521">
        <v>1365.4469999999999</v>
      </c>
      <c r="AQ70" s="287"/>
      <c r="AR70" s="513"/>
      <c r="AS70" s="521">
        <v>2523.0720000000001</v>
      </c>
      <c r="AT70" s="287">
        <f>IFERROR(AS70/AP70-1,0)</f>
        <v>0.84779929209994997</v>
      </c>
      <c r="AU70" s="288"/>
      <c r="AV70" s="467">
        <v>36.027472000000003</v>
      </c>
      <c r="AW70" s="287">
        <f>IFERROR(AV70/AS70-1,0)</f>
        <v>-0.98572079116251932</v>
      </c>
      <c r="AX70" s="288"/>
      <c r="AY70" s="467">
        <v>4.9973980000000005</v>
      </c>
      <c r="AZ70" s="287">
        <f>IFERROR(AY70/AV70-1,0)</f>
        <v>-0.86128924061060963</v>
      </c>
      <c r="BA70" s="288"/>
      <c r="BB70" s="467">
        <v>4.5413600000000001</v>
      </c>
      <c r="BC70" s="287">
        <f>IFERROR(BB70/AY70-1,0)</f>
        <v>-9.1255089148392865E-2</v>
      </c>
      <c r="BD70" s="513"/>
      <c r="BE70" s="521">
        <v>4.7565330000000001</v>
      </c>
      <c r="BF70" s="287">
        <f>IFERROR(BE70/BB70-1,0)</f>
        <v>4.7380740571106417E-2</v>
      </c>
      <c r="BG70" s="288">
        <f>IFERROR(BE70/AS70-1,)</f>
        <v>-0.99811478507153184</v>
      </c>
      <c r="BH70" s="467" t="s">
        <v>3</v>
      </c>
      <c r="BI70" s="287">
        <f>IFERROR(BH70/BE70-1,0)</f>
        <v>0</v>
      </c>
      <c r="BJ70" s="288">
        <f>IFERROR(BH70/AV70-1,)</f>
        <v>0</v>
      </c>
      <c r="BK70" s="467">
        <v>2.2112E-2</v>
      </c>
      <c r="BL70" s="287">
        <f>IFERROR(BK70/BH70-1,0)</f>
        <v>0</v>
      </c>
      <c r="BM70" s="288">
        <f>IFERROR(BK70/AY70-1,)</f>
        <v>-0.99557529738475903</v>
      </c>
      <c r="BN70" s="467">
        <v>4.3999999999999997E-2</v>
      </c>
      <c r="BO70" s="287">
        <f>IFERROR(BN70/BK70-1,0)</f>
        <v>0.98986975397973942</v>
      </c>
      <c r="BP70" s="513">
        <f>IFERROR(BN70/BB70-1,)</f>
        <v>-0.99031127239417271</v>
      </c>
      <c r="BQ70" s="521">
        <v>6.6869999999999999E-2</v>
      </c>
      <c r="BR70" s="287">
        <f>IFERROR(BQ70/BN70-1,0)</f>
        <v>0.51977272727272728</v>
      </c>
      <c r="BS70" s="288">
        <f>IFERROR(BQ70/BE70-1,)</f>
        <v>-0.9859414409613052</v>
      </c>
      <c r="BT70" s="467">
        <v>0.33392500000000003</v>
      </c>
      <c r="BU70" s="287">
        <f>IFERROR(BT70/BQ70-1,0)</f>
        <v>3.9936443846268883</v>
      </c>
      <c r="BV70" s="288">
        <f>IFERROR(BT70/BH70-1,)</f>
        <v>0</v>
      </c>
      <c r="BW70" s="467">
        <v>0.66968300000000003</v>
      </c>
      <c r="BX70" s="287">
        <f>IFERROR(BW70/BT70-1,0)</f>
        <v>1.005489256569589</v>
      </c>
      <c r="BY70" s="288">
        <f>IFERROR(BW70/BK70-1,)</f>
        <v>29.285953328509407</v>
      </c>
      <c r="BZ70" s="467">
        <v>0.14699999999999999</v>
      </c>
      <c r="CA70" s="287">
        <f>IFERROR(BZ70/BW70-1,0)</f>
        <v>-0.78049315870344627</v>
      </c>
      <c r="CB70" s="513">
        <f>IFERROR(BZ70/BN70-1,)</f>
        <v>2.3409090909090908</v>
      </c>
      <c r="CC70" s="521">
        <v>7.48</v>
      </c>
      <c r="CD70" s="287">
        <f>IFERROR(CC70/BZ70-1,0)</f>
        <v>49.884353741496604</v>
      </c>
      <c r="CE70" s="288">
        <f>IFERROR(CC70/BQ70-1,)</f>
        <v>110.85883056677136</v>
      </c>
      <c r="CF70" s="467">
        <v>13</v>
      </c>
      <c r="CG70" s="287">
        <f t="shared" si="30"/>
        <v>0.73796791443850251</v>
      </c>
      <c r="CH70" s="288">
        <f t="shared" si="31"/>
        <v>37.930897656659425</v>
      </c>
      <c r="CI70" s="467">
        <v>37.271000000000001</v>
      </c>
      <c r="CJ70" s="287">
        <f t="shared" si="213"/>
        <v>1.867</v>
      </c>
      <c r="CK70" s="288">
        <f t="shared" si="214"/>
        <v>54.65469035349561</v>
      </c>
      <c r="CL70" s="467">
        <v>0</v>
      </c>
      <c r="CM70" s="287">
        <f t="shared" si="215"/>
        <v>-1</v>
      </c>
      <c r="CN70" s="288">
        <f t="shared" si="216"/>
        <v>-1</v>
      </c>
      <c r="CO70" s="521">
        <v>121.834</v>
      </c>
      <c r="CP70" s="287">
        <f>IFERROR(CO70/CL70-1,0)</f>
        <v>0</v>
      </c>
      <c r="CQ70" s="287">
        <f>IFERROR(CO70/CC70-1,)</f>
        <v>15.287967914438504</v>
      </c>
      <c r="CR70" s="716">
        <v>5241.6629999999996</v>
      </c>
      <c r="CS70" s="287">
        <f t="shared" si="217"/>
        <v>42.022990298274699</v>
      </c>
      <c r="CT70" s="288">
        <f t="shared" si="218"/>
        <v>402.20484615384612</v>
      </c>
      <c r="CU70" s="716">
        <v>0</v>
      </c>
      <c r="CV70" s="287">
        <f t="shared" si="219"/>
        <v>-1</v>
      </c>
      <c r="CW70" s="288">
        <f t="shared" si="220"/>
        <v>-1</v>
      </c>
      <c r="CX70" s="716">
        <v>0</v>
      </c>
      <c r="CY70" s="287">
        <f t="shared" si="221"/>
        <v>0</v>
      </c>
      <c r="CZ70" s="513">
        <f t="shared" si="222"/>
        <v>0</v>
      </c>
      <c r="DC70" s="29"/>
      <c r="DD70" s="29"/>
    </row>
    <row r="71" spans="1:108" s="29" customFormat="1" ht="16.2" customHeight="1">
      <c r="A71" s="141"/>
      <c r="B71" s="30"/>
      <c r="C71" s="516"/>
      <c r="D71" s="640"/>
      <c r="E71" s="275"/>
      <c r="F71" s="275"/>
      <c r="G71" s="275"/>
      <c r="H71" s="134"/>
      <c r="I71" s="134"/>
      <c r="J71" s="275"/>
      <c r="K71" s="134"/>
      <c r="L71" s="134"/>
      <c r="M71" s="275"/>
      <c r="N71" s="134"/>
      <c r="O71" s="134"/>
      <c r="P71" s="275"/>
      <c r="Q71" s="134"/>
      <c r="R71" s="134"/>
      <c r="S71" s="275"/>
      <c r="T71" s="134"/>
      <c r="U71" s="134"/>
      <c r="V71" s="275"/>
      <c r="W71" s="134"/>
      <c r="X71" s="134"/>
      <c r="Y71" s="275"/>
      <c r="Z71" s="134"/>
      <c r="AA71" s="134"/>
      <c r="AB71" s="275"/>
      <c r="AC71" s="134"/>
      <c r="AD71" s="275"/>
      <c r="AE71" s="275"/>
      <c r="AF71" s="275"/>
      <c r="AG71" s="275"/>
      <c r="AH71" s="275"/>
      <c r="AI71" s="275"/>
      <c r="AJ71" s="275"/>
      <c r="AK71" s="275"/>
      <c r="AL71" s="275"/>
      <c r="AM71" s="275"/>
      <c r="AN71" s="275"/>
      <c r="AO71" s="275"/>
      <c r="AP71" s="522">
        <f>ROUND(SUM(AP68:AP70),0)</f>
        <v>5715</v>
      </c>
      <c r="AQ71" s="523"/>
      <c r="AR71" s="524"/>
      <c r="AS71" s="522">
        <f>ROUND(SUM(AS68:AS70),0)</f>
        <v>8541</v>
      </c>
      <c r="AT71" s="523">
        <f>IFERROR(AS71/AP71-1,0)</f>
        <v>0.49448818897637792</v>
      </c>
      <c r="AU71" s="527"/>
      <c r="AV71" s="528">
        <f>ROUND(SUM(AV68:AV70),0)</f>
        <v>3565</v>
      </c>
      <c r="AW71" s="523">
        <f>IFERROR(AV71/AS71-1,0)</f>
        <v>-0.58260156890293879</v>
      </c>
      <c r="AX71" s="527"/>
      <c r="AY71" s="528">
        <f>ROUND(SUM(AY68:AY70),0)</f>
        <v>3332</v>
      </c>
      <c r="AZ71" s="523">
        <f>IFERROR(AY71/AV71-1,0)</f>
        <v>-6.5357643758765738E-2</v>
      </c>
      <c r="BA71" s="527"/>
      <c r="BB71" s="528">
        <f>ROUND(SUM(BB68:BB70),0)</f>
        <v>2705</v>
      </c>
      <c r="BC71" s="523">
        <f>IFERROR(BB71/AY71-1,0)</f>
        <v>-0.18817527010804325</v>
      </c>
      <c r="BD71" s="524"/>
      <c r="BE71" s="522">
        <f>ROUND(SUM(BE68:BE70),0)</f>
        <v>3831</v>
      </c>
      <c r="BF71" s="523">
        <f>IFERROR(BE71/BB71-1,0)</f>
        <v>0.41626617375231056</v>
      </c>
      <c r="BG71" s="527">
        <f>IFERROR(BE71/AS71-1,)</f>
        <v>-0.5514576747453459</v>
      </c>
      <c r="BH71" s="528">
        <f>ROUND(SUM(BH68:BH70),0)</f>
        <v>3223</v>
      </c>
      <c r="BI71" s="523">
        <f>IFERROR(BH71/BE71-1,0)</f>
        <v>-0.15870529887757767</v>
      </c>
      <c r="BJ71" s="527">
        <f>IFERROR(BH71/AV71-1,)</f>
        <v>-9.5932678821879391E-2</v>
      </c>
      <c r="BK71" s="528">
        <f>ROUND(SUM(BK68:BK70),0)</f>
        <v>10766</v>
      </c>
      <c r="BL71" s="523">
        <f>IFERROR(BK71/BH71-1,0)</f>
        <v>2.3403661185231153</v>
      </c>
      <c r="BM71" s="527">
        <f>IFERROR(BK71/AY71-1,)</f>
        <v>2.23109243697479</v>
      </c>
      <c r="BN71" s="528">
        <f>ROUND(SUM(BN68:BN70),0)</f>
        <v>10277</v>
      </c>
      <c r="BO71" s="523">
        <f>IFERROR(BN71/BK71-1,0)</f>
        <v>-4.5420769087869184E-2</v>
      </c>
      <c r="BP71" s="524">
        <f>IFERROR(BN71/BB71-1,)</f>
        <v>2.7992606284658041</v>
      </c>
      <c r="BQ71" s="522">
        <f>ROUND(SUM(BQ68:BQ70),0)</f>
        <v>9880</v>
      </c>
      <c r="BR71" s="523">
        <f>IFERROR(BQ71/BN71-1,0)</f>
        <v>-3.8629950374622912E-2</v>
      </c>
      <c r="BS71" s="527">
        <f>IFERROR(BQ71/BE71-1,)</f>
        <v>1.5789611067606368</v>
      </c>
      <c r="BT71" s="528">
        <f>ROUND(SUM(BT68:BT70),0)</f>
        <v>1697</v>
      </c>
      <c r="BU71" s="523">
        <f>IFERROR(BT71/BQ71-1,0)</f>
        <v>-0.82823886639676114</v>
      </c>
      <c r="BV71" s="527">
        <f>IFERROR(BT71/BH71-1,)</f>
        <v>-0.47347192057089671</v>
      </c>
      <c r="BW71" s="528">
        <f>ROUND(SUM(BW68:BW70),0)</f>
        <v>3526</v>
      </c>
      <c r="BX71" s="523">
        <f>IFERROR(BW71/BT71-1,0)</f>
        <v>1.0777843252799055</v>
      </c>
      <c r="BY71" s="527">
        <f>IFERROR(BW71/BK71-1,)</f>
        <v>-0.67248746052387143</v>
      </c>
      <c r="BZ71" s="528">
        <f>ROUND(SUM(BZ68:BZ70),0)</f>
        <v>5609</v>
      </c>
      <c r="CA71" s="523">
        <f>IFERROR(BZ71/BW71-1,0)</f>
        <v>0.59075439591605217</v>
      </c>
      <c r="CB71" s="524">
        <f>IFERROR(BZ71/BN71-1,)</f>
        <v>-0.45421815704972268</v>
      </c>
      <c r="CC71" s="522">
        <f>ROUND(SUM(CC68:CC70),0)</f>
        <v>5181</v>
      </c>
      <c r="CD71" s="523">
        <f>IFERROR(CC71/BZ71-1,0)</f>
        <v>-7.6305936887145709E-2</v>
      </c>
      <c r="CE71" s="527">
        <f>IFERROR(CC71/BQ71-1,)</f>
        <v>-0.47560728744939273</v>
      </c>
      <c r="CF71" s="528">
        <f>ROUND(SUM(CF68:CF70),0)</f>
        <v>6759</v>
      </c>
      <c r="CG71" s="523">
        <f t="shared" ref="CG71:CG109" si="223">IFERROR(CF71/CC71-1,0)</f>
        <v>0.30457440648523448</v>
      </c>
      <c r="CH71" s="527">
        <f t="shared" ref="CH71:CH109" si="224">IFERROR(CF71/BT71-1,)</f>
        <v>2.9829110194460813</v>
      </c>
      <c r="CI71" s="528">
        <f>ROUND(SUM(CI68:CI70),0)</f>
        <v>7384</v>
      </c>
      <c r="CJ71" s="523">
        <f t="shared" si="213"/>
        <v>9.2469300192336235E-2</v>
      </c>
      <c r="CK71" s="527">
        <f t="shared" si="214"/>
        <v>1.0941576857629043</v>
      </c>
      <c r="CL71" s="528">
        <f>ROUND(SUM(CL68:CL70),0)</f>
        <v>6124</v>
      </c>
      <c r="CM71" s="523">
        <f t="shared" si="215"/>
        <v>-0.17063921993499453</v>
      </c>
      <c r="CN71" s="527">
        <f t="shared" si="216"/>
        <v>9.181672312355138E-2</v>
      </c>
      <c r="CO71" s="522">
        <f>ROUND(SUM(CO68:CO70),0)</f>
        <v>7726</v>
      </c>
      <c r="CP71" s="523">
        <f>IFERROR(CO71/CL71-1,0)</f>
        <v>0.26159372958850424</v>
      </c>
      <c r="CQ71" s="523">
        <f>IFERROR(CO71/CC71-1,)</f>
        <v>0.49121791160007722</v>
      </c>
      <c r="CR71" s="717">
        <f>ROUND(SUM(CR68:CR70),0)</f>
        <v>14611</v>
      </c>
      <c r="CS71" s="523">
        <f t="shared" si="217"/>
        <v>0.89114677711623091</v>
      </c>
      <c r="CT71" s="527">
        <f t="shared" si="218"/>
        <v>1.1617103121763575</v>
      </c>
      <c r="CU71" s="717">
        <f>ROUND(SUM(CU68:CU70),0)</f>
        <v>0</v>
      </c>
      <c r="CV71" s="523">
        <f t="shared" si="219"/>
        <v>-1</v>
      </c>
      <c r="CW71" s="527">
        <f t="shared" si="220"/>
        <v>-1</v>
      </c>
      <c r="CX71" s="717">
        <f>ROUND(SUM(CX68:CX70),0)</f>
        <v>0</v>
      </c>
      <c r="CY71" s="523">
        <f t="shared" si="221"/>
        <v>0</v>
      </c>
      <c r="CZ71" s="524">
        <f t="shared" si="222"/>
        <v>-1</v>
      </c>
      <c r="DC71" s="8"/>
      <c r="DD71" s="8"/>
    </row>
    <row r="72" spans="1:108" ht="16.2" customHeight="1">
      <c r="C72" s="425"/>
      <c r="D72" s="425"/>
      <c r="E72" s="275"/>
      <c r="F72" s="275"/>
      <c r="G72" s="275"/>
      <c r="H72" s="134"/>
      <c r="I72" s="134"/>
      <c r="K72" s="134"/>
      <c r="L72" s="134"/>
      <c r="N72" s="134"/>
      <c r="O72" s="134"/>
      <c r="Q72" s="134"/>
      <c r="R72" s="134"/>
      <c r="T72" s="134"/>
      <c r="U72" s="134"/>
      <c r="W72" s="134"/>
      <c r="X72" s="134"/>
      <c r="Z72" s="134"/>
      <c r="AA72" s="134"/>
      <c r="AC72" s="134"/>
      <c r="AD72" s="275"/>
      <c r="AG72" s="275"/>
      <c r="AJ72" s="275"/>
      <c r="AM72" s="275"/>
      <c r="AP72" s="425" t="b">
        <f>AP67=AP71</f>
        <v>1</v>
      </c>
      <c r="AR72" s="134"/>
      <c r="AS72" s="425" t="b">
        <f>AS67=AS71</f>
        <v>1</v>
      </c>
      <c r="AU72" s="134"/>
      <c r="AV72" s="425" t="b">
        <f>AV67=AV71</f>
        <v>1</v>
      </c>
      <c r="AX72" s="134"/>
      <c r="AY72" s="425" t="b">
        <f>AY67=AY71</f>
        <v>1</v>
      </c>
      <c r="BA72" s="134"/>
      <c r="BB72" s="425" t="b">
        <f>BB67=BB71</f>
        <v>1</v>
      </c>
      <c r="BD72" s="134"/>
      <c r="BE72" s="425" t="b">
        <f>BE67=BE71</f>
        <v>1</v>
      </c>
      <c r="BG72" s="134"/>
      <c r="BH72" s="425" t="b">
        <f>BH67=BH71</f>
        <v>1</v>
      </c>
      <c r="BJ72" s="134"/>
      <c r="BK72" s="425" t="b">
        <f>BK67=BK71</f>
        <v>1</v>
      </c>
      <c r="BM72" s="134"/>
      <c r="BN72" s="425" t="b">
        <f>BN67=BN71</f>
        <v>1</v>
      </c>
      <c r="BP72" s="134"/>
      <c r="BQ72" s="425" t="b">
        <f>BQ67=BQ71</f>
        <v>1</v>
      </c>
      <c r="BS72" s="134"/>
      <c r="BT72" s="425" t="b">
        <f>BT67=BT71</f>
        <v>1</v>
      </c>
      <c r="BV72" s="134"/>
      <c r="BW72" s="425" t="b">
        <f>BW67=BW71</f>
        <v>1</v>
      </c>
      <c r="BY72" s="134"/>
      <c r="BZ72" s="425" t="b">
        <f>BZ67=BZ71</f>
        <v>1</v>
      </c>
      <c r="CB72" s="134"/>
      <c r="CC72" s="425" t="b">
        <f>CC67=CC71</f>
        <v>1</v>
      </c>
      <c r="CE72" s="134"/>
      <c r="CF72" s="425" t="b">
        <f>CF67=CF71</f>
        <v>1</v>
      </c>
      <c r="CH72" s="134"/>
      <c r="CI72" s="425" t="b">
        <f>CI67=CI71</f>
        <v>1</v>
      </c>
      <c r="CK72" s="134"/>
      <c r="CL72" s="425" t="b">
        <f>CL67=CL71</f>
        <v>1</v>
      </c>
      <c r="CN72" s="134"/>
      <c r="CO72" s="425" t="b">
        <f>CO67=CO71</f>
        <v>1</v>
      </c>
      <c r="CQ72" s="134"/>
      <c r="CR72" s="425" t="b">
        <f>CR67=CR71</f>
        <v>1</v>
      </c>
      <c r="CT72" s="134"/>
      <c r="CU72" s="425" t="b">
        <f>CU67=CU71</f>
        <v>1</v>
      </c>
      <c r="CW72" s="134"/>
      <c r="CX72" s="425" t="b">
        <f>CX67=CX71</f>
        <v>1</v>
      </c>
      <c r="CZ72" s="134"/>
    </row>
    <row r="73" spans="1:108" ht="16.2" customHeight="1">
      <c r="C73" s="425"/>
      <c r="D73" s="425"/>
      <c r="E73" s="275"/>
      <c r="F73" s="275"/>
      <c r="G73" s="275"/>
      <c r="H73" s="134"/>
      <c r="I73" s="134"/>
      <c r="K73" s="134"/>
      <c r="L73" s="134"/>
      <c r="N73" s="134"/>
      <c r="O73" s="134"/>
      <c r="Q73" s="134"/>
      <c r="R73" s="134"/>
      <c r="T73" s="134"/>
      <c r="U73" s="134"/>
      <c r="W73" s="134"/>
      <c r="X73" s="134"/>
      <c r="Z73" s="134"/>
      <c r="AA73" s="134"/>
      <c r="AC73" s="134"/>
      <c r="AD73" s="275"/>
      <c r="AG73" s="275"/>
      <c r="AJ73" s="275"/>
      <c r="AM73" s="275"/>
      <c r="AP73" s="425"/>
      <c r="AR73" s="134"/>
      <c r="AS73" s="425"/>
      <c r="AU73" s="134"/>
      <c r="AV73" s="425"/>
      <c r="AX73" s="134"/>
      <c r="AY73" s="425"/>
      <c r="BA73" s="134"/>
      <c r="BB73" s="425"/>
      <c r="BD73" s="134"/>
      <c r="BE73" s="425"/>
      <c r="BG73" s="134"/>
      <c r="BH73" s="425"/>
      <c r="BJ73" s="134"/>
      <c r="BK73" s="425"/>
      <c r="BM73" s="134"/>
      <c r="BN73" s="425"/>
      <c r="BP73" s="134"/>
      <c r="BQ73" s="425"/>
      <c r="BS73" s="134"/>
      <c r="BT73" s="425"/>
      <c r="BV73" s="134"/>
      <c r="BW73" s="425"/>
      <c r="BY73" s="134"/>
      <c r="BZ73" s="425"/>
      <c r="CB73" s="134"/>
      <c r="CC73" s="425"/>
      <c r="CE73" s="134"/>
      <c r="CF73" s="425"/>
      <c r="CH73" s="134"/>
      <c r="CI73" s="425"/>
      <c r="CK73" s="134"/>
      <c r="CL73" s="425"/>
      <c r="CN73" s="134"/>
      <c r="CO73" s="425"/>
      <c r="CQ73" s="134"/>
      <c r="CR73" s="425"/>
      <c r="CT73" s="134"/>
      <c r="CU73" s="425"/>
      <c r="CW73" s="134"/>
      <c r="CX73" s="425"/>
      <c r="CZ73" s="134"/>
    </row>
    <row r="74" spans="1:108" ht="16.2" customHeight="1">
      <c r="C74" s="514" t="s">
        <v>23</v>
      </c>
      <c r="D74" s="638" t="s">
        <v>24</v>
      </c>
      <c r="E74" s="275"/>
      <c r="F74" s="275"/>
      <c r="G74" s="275"/>
      <c r="H74" s="134"/>
      <c r="I74" s="134"/>
      <c r="K74" s="134"/>
      <c r="L74" s="134"/>
      <c r="N74" s="134"/>
      <c r="O74" s="134"/>
      <c r="Q74" s="134"/>
      <c r="R74" s="134"/>
      <c r="T74" s="134"/>
      <c r="U74" s="134"/>
      <c r="W74" s="134"/>
      <c r="X74" s="134"/>
      <c r="Z74" s="134"/>
      <c r="AA74" s="134"/>
      <c r="AC74" s="134"/>
      <c r="AD74" s="275"/>
      <c r="AG74" s="275"/>
      <c r="AJ74" s="275"/>
      <c r="AM74" s="275"/>
      <c r="AP74" s="518">
        <f>ROUND(AP34,0)</f>
        <v>6743</v>
      </c>
      <c r="AQ74" s="519"/>
      <c r="AR74" s="520"/>
      <c r="AS74" s="518">
        <f>ROUND(AS34,0)</f>
        <v>6687</v>
      </c>
      <c r="AT74" s="519">
        <f t="shared" ref="AT74:AT79" si="225">IFERROR(AS74/AP74-1,0)</f>
        <v>-8.3049087943052324E-3</v>
      </c>
      <c r="AU74" s="525"/>
      <c r="AV74" s="526">
        <f>ROUND(AV34,0)</f>
        <v>6630</v>
      </c>
      <c r="AW74" s="519">
        <f t="shared" ref="AW74:AW79" si="226">IFERROR(AV74/AS74-1,0)</f>
        <v>-8.5240017945267255E-3</v>
      </c>
      <c r="AX74" s="525"/>
      <c r="AY74" s="526">
        <f>ROUND(AY34,0)</f>
        <v>12630</v>
      </c>
      <c r="AZ74" s="519">
        <f t="shared" ref="AZ74:AZ79" si="227">IFERROR(AY74/AV74-1,0)</f>
        <v>0.90497737556561075</v>
      </c>
      <c r="BA74" s="525"/>
      <c r="BB74" s="526">
        <f>ROUND(BB34,0)</f>
        <v>6293</v>
      </c>
      <c r="BC74" s="519">
        <f t="shared" ref="BC74:BC79" si="228">IFERROR(BB74/AY74-1,0)</f>
        <v>-0.50174188440221701</v>
      </c>
      <c r="BD74" s="520"/>
      <c r="BE74" s="518">
        <f>ROUND(BE34,0)</f>
        <v>4826</v>
      </c>
      <c r="BF74" s="519">
        <f t="shared" ref="BF74:BF79" si="229">IFERROR(BE74/BB74-1,0)</f>
        <v>-0.23311616081360242</v>
      </c>
      <c r="BG74" s="525">
        <f t="shared" ref="BG74:BG79" si="230">IFERROR(BE74/AS74-1,)</f>
        <v>-0.27830118139673998</v>
      </c>
      <c r="BH74" s="526">
        <f>ROUND(BH34,0)</f>
        <v>4662</v>
      </c>
      <c r="BI74" s="519">
        <f t="shared" ref="BI74:BI79" si="231">IFERROR(BH74/BE74-1,0)</f>
        <v>-3.3982594280978051E-2</v>
      </c>
      <c r="BJ74" s="525">
        <f t="shared" ref="BJ74:BJ79" si="232">IFERROR(BH74/AV74-1,)</f>
        <v>-0.29683257918552031</v>
      </c>
      <c r="BK74" s="526">
        <f>ROUND(BK34,0)</f>
        <v>5309</v>
      </c>
      <c r="BL74" s="519">
        <f t="shared" ref="BL74:BL79" si="233">IFERROR(BK74/BH74-1,0)</f>
        <v>0.13878163878163874</v>
      </c>
      <c r="BM74" s="525">
        <f t="shared" ref="BM74:BM79" si="234">IFERROR(BK74/AY74-1,)</f>
        <v>-0.57965162311955654</v>
      </c>
      <c r="BN74" s="526">
        <f>ROUND(BN34,0)</f>
        <v>5072</v>
      </c>
      <c r="BO74" s="519">
        <f t="shared" ref="BO74:BO79" si="235">IFERROR(BN74/BK74-1,0)</f>
        <v>-4.4641175362591823E-2</v>
      </c>
      <c r="BP74" s="520">
        <f t="shared" ref="BP74:BP79" si="236">IFERROR(BN74/BB74-1,)</f>
        <v>-0.19402510726203714</v>
      </c>
      <c r="BQ74" s="518">
        <f>ROUND(BQ34,0)</f>
        <v>6002</v>
      </c>
      <c r="BR74" s="519">
        <f t="shared" ref="BR74:BR79" si="237">IFERROR(BQ74/BN74-1,0)</f>
        <v>0.18335962145110418</v>
      </c>
      <c r="BS74" s="525">
        <f t="shared" ref="BS74:BS79" si="238">IFERROR(BQ74/BE74-1,)</f>
        <v>0.24368006630750094</v>
      </c>
      <c r="BT74" s="526">
        <f>ROUND(BT34,0)</f>
        <v>3945</v>
      </c>
      <c r="BU74" s="519">
        <f t="shared" ref="BU74:BU79" si="239">IFERROR(BT74/BQ74-1,0)</f>
        <v>-0.34271909363545483</v>
      </c>
      <c r="BV74" s="525">
        <f t="shared" ref="BV74:BV79" si="240">IFERROR(BT74/BH74-1,)</f>
        <v>-0.15379665379665375</v>
      </c>
      <c r="BW74" s="526">
        <f>ROUND(BW34,0)</f>
        <v>4632</v>
      </c>
      <c r="BX74" s="519">
        <f t="shared" ref="BX74:BX79" si="241">IFERROR(BW74/BT74-1,0)</f>
        <v>0.17414448669201521</v>
      </c>
      <c r="BY74" s="525">
        <f t="shared" ref="BY74:BY79" si="242">IFERROR(BW74/BK74-1,)</f>
        <v>-0.12751930683744583</v>
      </c>
      <c r="BZ74" s="526">
        <f>ROUND(BZ34,0)</f>
        <v>5530</v>
      </c>
      <c r="CA74" s="519">
        <f t="shared" ref="CA74:CA79" si="243">IFERROR(BZ74/BW74-1,0)</f>
        <v>0.19386873920552672</v>
      </c>
      <c r="CB74" s="520">
        <f t="shared" ref="CB74:CB79" si="244">IFERROR(BZ74/BN74-1,)</f>
        <v>9.0299684542586744E-2</v>
      </c>
      <c r="CC74" s="518">
        <f>ROUND(CC34,0)</f>
        <v>5479</v>
      </c>
      <c r="CD74" s="519">
        <f t="shared" ref="CD74:CD79" si="245">IFERROR(CC74/BZ74-1,0)</f>
        <v>-9.2224231464738127E-3</v>
      </c>
      <c r="CE74" s="525">
        <f t="shared" ref="CE74:CE79" si="246">IFERROR(CC74/BQ74-1,)</f>
        <v>-8.7137620793068971E-2</v>
      </c>
      <c r="CF74" s="526">
        <f>ROUND(CF34,0)</f>
        <v>4888</v>
      </c>
      <c r="CG74" s="519">
        <f t="shared" si="223"/>
        <v>-0.10786639897791572</v>
      </c>
      <c r="CH74" s="525">
        <f t="shared" si="224"/>
        <v>0.23903675538656532</v>
      </c>
      <c r="CI74" s="526">
        <f>ROUND(CI34,0)</f>
        <v>3948</v>
      </c>
      <c r="CJ74" s="519">
        <f t="shared" ref="CJ74:CJ79" si="247">IFERROR(CI74/CF74-1,0)</f>
        <v>-0.19230769230769229</v>
      </c>
      <c r="CK74" s="525">
        <f t="shared" ref="CK74:CK79" si="248">IFERROR(CI74/BW74-1,)</f>
        <v>-0.14766839378238339</v>
      </c>
      <c r="CL74" s="526">
        <f>ROUND(CL34,0)</f>
        <v>4937</v>
      </c>
      <c r="CM74" s="519">
        <f t="shared" ref="CM74:CM79" si="249">IFERROR(CL74/CI74-1,0)</f>
        <v>0.25050658561296868</v>
      </c>
      <c r="CN74" s="525">
        <f t="shared" ref="CN74:CN79" si="250">IFERROR(CL74/BZ74-1,)</f>
        <v>-0.1072332730560579</v>
      </c>
      <c r="CO74" s="518">
        <f>ROUND(CO34,0)</f>
        <v>9053</v>
      </c>
      <c r="CP74" s="519">
        <f t="shared" ref="CP74:CP79" si="251">IFERROR(CO74/CL74-1,0)</f>
        <v>0.8337046789548308</v>
      </c>
      <c r="CQ74" s="519">
        <f t="shared" ref="CQ74:CQ77" si="252">IFERROR(CO74/CC74-1,)</f>
        <v>0.65230881547727693</v>
      </c>
      <c r="CR74" s="715">
        <f>ROUND(CR34,0)</f>
        <v>8165</v>
      </c>
      <c r="CS74" s="519">
        <f t="shared" ref="CS74:CS79" si="253">IFERROR(CR74/CO74-1,0)</f>
        <v>-9.808903126035573E-2</v>
      </c>
      <c r="CT74" s="525">
        <f t="shared" ref="CT74:CT79" si="254">IFERROR(CR74/CF74-1,)</f>
        <v>0.67041734860883806</v>
      </c>
      <c r="CU74" s="715">
        <f>ROUND(CU34,0)</f>
        <v>0</v>
      </c>
      <c r="CV74" s="519">
        <f t="shared" ref="CV74:CV79" si="255">IFERROR(CU74/CR74-1,0)</f>
        <v>-1</v>
      </c>
      <c r="CW74" s="525">
        <f t="shared" ref="CW74:CW79" si="256">IFERROR(CU74/CI74-1,)</f>
        <v>-1</v>
      </c>
      <c r="CX74" s="715">
        <f>ROUND(CX34,0)</f>
        <v>0</v>
      </c>
      <c r="CY74" s="519">
        <f t="shared" ref="CY74:CY79" si="257">IFERROR(CX74/CU74-1,0)</f>
        <v>0</v>
      </c>
      <c r="CZ74" s="520">
        <f t="shared" ref="CZ74:CZ79" si="258">IFERROR(CX74/CL74-1,)</f>
        <v>-1</v>
      </c>
    </row>
    <row r="75" spans="1:108" ht="16.2" customHeight="1">
      <c r="C75" s="512" t="s">
        <v>39</v>
      </c>
      <c r="D75" s="639" t="s">
        <v>40</v>
      </c>
      <c r="E75" s="275"/>
      <c r="F75" s="275"/>
      <c r="G75" s="275"/>
      <c r="H75" s="134"/>
      <c r="I75" s="134"/>
      <c r="K75" s="134"/>
      <c r="L75" s="134"/>
      <c r="N75" s="134"/>
      <c r="O75" s="134"/>
      <c r="Q75" s="134"/>
      <c r="R75" s="134"/>
      <c r="T75" s="134"/>
      <c r="U75" s="134"/>
      <c r="W75" s="134"/>
      <c r="X75" s="134"/>
      <c r="Z75" s="134"/>
      <c r="AA75" s="134"/>
      <c r="AC75" s="134"/>
      <c r="AD75" s="275"/>
      <c r="AG75" s="275"/>
      <c r="AJ75" s="275"/>
      <c r="AM75" s="275"/>
      <c r="AP75" s="521">
        <v>1243.5340000000001</v>
      </c>
      <c r="AQ75" s="287"/>
      <c r="AR75" s="513"/>
      <c r="AS75" s="521">
        <v>350.029</v>
      </c>
      <c r="AT75" s="287">
        <f t="shared" si="225"/>
        <v>-0.71852076420910094</v>
      </c>
      <c r="AU75" s="288"/>
      <c r="AV75" s="467">
        <v>105.34367</v>
      </c>
      <c r="AW75" s="287">
        <f t="shared" si="226"/>
        <v>-0.69904302214959335</v>
      </c>
      <c r="AX75" s="288"/>
      <c r="AY75" s="467">
        <v>253.35703000000001</v>
      </c>
      <c r="AZ75" s="287">
        <f t="shared" si="227"/>
        <v>1.4050522447148461</v>
      </c>
      <c r="BA75" s="288"/>
      <c r="BB75" s="467">
        <v>4.4985270000000002</v>
      </c>
      <c r="BC75" s="287">
        <f t="shared" si="228"/>
        <v>-0.98224431743614926</v>
      </c>
      <c r="BD75" s="513"/>
      <c r="BE75" s="521">
        <v>6.3120519999999996</v>
      </c>
      <c r="BF75" s="287">
        <f t="shared" si="229"/>
        <v>0.40313751590242752</v>
      </c>
      <c r="BG75" s="288">
        <f t="shared" si="230"/>
        <v>-0.98196705987218202</v>
      </c>
      <c r="BH75" s="467">
        <v>7.7556520000000004</v>
      </c>
      <c r="BI75" s="287">
        <f t="shared" si="231"/>
        <v>0.22870534019681732</v>
      </c>
      <c r="BJ75" s="288">
        <f t="shared" si="232"/>
        <v>-0.92637761718383271</v>
      </c>
      <c r="BK75" s="467">
        <v>9.5444019999999998</v>
      </c>
      <c r="BL75" s="287">
        <f t="shared" si="233"/>
        <v>0.23063824936962085</v>
      </c>
      <c r="BM75" s="288">
        <f t="shared" si="234"/>
        <v>-0.96232825274277967</v>
      </c>
      <c r="BN75" s="467">
        <v>0.11600000000000001</v>
      </c>
      <c r="BO75" s="287">
        <f t="shared" si="235"/>
        <v>-0.98784627889730547</v>
      </c>
      <c r="BP75" s="513">
        <f t="shared" si="236"/>
        <v>-0.97421378153337745</v>
      </c>
      <c r="BQ75" s="521">
        <v>0.3669</v>
      </c>
      <c r="BR75" s="287">
        <f t="shared" si="237"/>
        <v>2.1629310344827584</v>
      </c>
      <c r="BS75" s="288">
        <f t="shared" si="238"/>
        <v>-0.941873102439587</v>
      </c>
      <c r="BT75" s="467">
        <v>0.32715</v>
      </c>
      <c r="BU75" s="287">
        <f t="shared" si="239"/>
        <v>-0.10834014717906792</v>
      </c>
      <c r="BV75" s="288">
        <f t="shared" si="240"/>
        <v>-0.95781785980082657</v>
      </c>
      <c r="BW75" s="467">
        <v>3.1820539999999999</v>
      </c>
      <c r="BX75" s="287">
        <f t="shared" si="241"/>
        <v>8.7265902491211982</v>
      </c>
      <c r="BY75" s="288">
        <f t="shared" si="242"/>
        <v>-0.6666051995714346</v>
      </c>
      <c r="BZ75" s="467">
        <v>19.966000000000001</v>
      </c>
      <c r="CA75" s="287">
        <f t="shared" si="243"/>
        <v>5.2745635366338854</v>
      </c>
      <c r="CB75" s="513">
        <f t="shared" si="244"/>
        <v>171.12068965517241</v>
      </c>
      <c r="CC75" s="521">
        <v>266.45999999999998</v>
      </c>
      <c r="CD75" s="287">
        <f t="shared" si="245"/>
        <v>12.345687669037362</v>
      </c>
      <c r="CE75" s="288">
        <f t="shared" si="246"/>
        <v>725.24693376941934</v>
      </c>
      <c r="CF75" s="467">
        <v>35</v>
      </c>
      <c r="CG75" s="287">
        <f t="shared" si="223"/>
        <v>-0.86864820235682649</v>
      </c>
      <c r="CH75" s="288">
        <f t="shared" si="224"/>
        <v>105.98456365581538</v>
      </c>
      <c r="CI75" s="467">
        <v>254.55799999999999</v>
      </c>
      <c r="CJ75" s="287">
        <f t="shared" si="247"/>
        <v>6.2730857142857142</v>
      </c>
      <c r="CK75" s="288">
        <f t="shared" si="248"/>
        <v>78.998013861486953</v>
      </c>
      <c r="CL75" s="467">
        <v>850.94049600000005</v>
      </c>
      <c r="CM75" s="287">
        <f t="shared" si="249"/>
        <v>2.3428157669372012</v>
      </c>
      <c r="CN75" s="288">
        <f t="shared" si="250"/>
        <v>41.619477912451167</v>
      </c>
      <c r="CO75" s="521">
        <v>1270.5440000000001</v>
      </c>
      <c r="CP75" s="287">
        <f t="shared" si="251"/>
        <v>0.49310557667947674</v>
      </c>
      <c r="CQ75" s="287">
        <f t="shared" si="252"/>
        <v>3.768235382421377</v>
      </c>
      <c r="CR75" s="716">
        <v>319.64299999999997</v>
      </c>
      <c r="CS75" s="287">
        <f t="shared" si="253"/>
        <v>-0.74842036167185078</v>
      </c>
      <c r="CT75" s="288">
        <f t="shared" si="254"/>
        <v>8.1326571428571413</v>
      </c>
      <c r="CU75" s="716">
        <v>0</v>
      </c>
      <c r="CV75" s="287">
        <f t="shared" si="255"/>
        <v>-1</v>
      </c>
      <c r="CW75" s="288">
        <f t="shared" si="256"/>
        <v>-1</v>
      </c>
      <c r="CX75" s="716">
        <v>0</v>
      </c>
      <c r="CY75" s="287">
        <f t="shared" si="257"/>
        <v>0</v>
      </c>
      <c r="CZ75" s="513">
        <f t="shared" si="258"/>
        <v>-1</v>
      </c>
    </row>
    <row r="76" spans="1:108" ht="16.2" customHeight="1">
      <c r="C76" s="512" t="s">
        <v>41</v>
      </c>
      <c r="D76" s="639" t="s">
        <v>42</v>
      </c>
      <c r="E76" s="275"/>
      <c r="F76" s="275"/>
      <c r="G76" s="275"/>
      <c r="H76" s="134"/>
      <c r="I76" s="134"/>
      <c r="K76" s="134"/>
      <c r="L76" s="134"/>
      <c r="N76" s="134"/>
      <c r="O76" s="134"/>
      <c r="Q76" s="134"/>
      <c r="R76" s="134"/>
      <c r="T76" s="134"/>
      <c r="U76" s="134"/>
      <c r="W76" s="134"/>
      <c r="X76" s="134"/>
      <c r="Z76" s="134"/>
      <c r="AA76" s="134"/>
      <c r="AC76" s="134"/>
      <c r="AD76" s="275"/>
      <c r="AG76" s="275"/>
      <c r="AJ76" s="275"/>
      <c r="AM76" s="275"/>
      <c r="AP76" s="521">
        <v>0</v>
      </c>
      <c r="AQ76" s="287"/>
      <c r="AR76" s="513"/>
      <c r="AS76" s="521">
        <v>0</v>
      </c>
      <c r="AT76" s="287">
        <f t="shared" si="225"/>
        <v>0</v>
      </c>
      <c r="AU76" s="288"/>
      <c r="AV76" s="467">
        <v>0</v>
      </c>
      <c r="AW76" s="287">
        <f t="shared" si="226"/>
        <v>0</v>
      </c>
      <c r="AX76" s="288"/>
      <c r="AY76" s="467">
        <v>19.603116999999997</v>
      </c>
      <c r="AZ76" s="287">
        <f t="shared" si="227"/>
        <v>0</v>
      </c>
      <c r="BA76" s="288"/>
      <c r="BB76" s="467">
        <v>975.35790500000007</v>
      </c>
      <c r="BC76" s="287">
        <f t="shared" si="228"/>
        <v>48.755245811163611</v>
      </c>
      <c r="BD76" s="513"/>
      <c r="BE76" s="521">
        <v>293.22805499999998</v>
      </c>
      <c r="BF76" s="287">
        <f t="shared" si="229"/>
        <v>-0.69936363513658106</v>
      </c>
      <c r="BG76" s="288">
        <f t="shared" si="230"/>
        <v>0</v>
      </c>
      <c r="BH76" s="467">
        <v>145.33535800000001</v>
      </c>
      <c r="BI76" s="287">
        <f t="shared" si="231"/>
        <v>-0.50436066562594073</v>
      </c>
      <c r="BJ76" s="288">
        <f t="shared" si="232"/>
        <v>0</v>
      </c>
      <c r="BK76" s="467">
        <v>471.96758599999998</v>
      </c>
      <c r="BL76" s="287">
        <f t="shared" si="233"/>
        <v>2.2474381492217463</v>
      </c>
      <c r="BM76" s="288">
        <f t="shared" si="234"/>
        <v>23.076150032670828</v>
      </c>
      <c r="BN76" s="467">
        <v>438.04</v>
      </c>
      <c r="BO76" s="287">
        <f t="shared" si="235"/>
        <v>-7.1885415453085688E-2</v>
      </c>
      <c r="BP76" s="513">
        <f t="shared" si="236"/>
        <v>-0.55089306422343498</v>
      </c>
      <c r="BQ76" s="521">
        <v>298.37707499999999</v>
      </c>
      <c r="BR76" s="287">
        <f t="shared" si="237"/>
        <v>-0.31883600812711177</v>
      </c>
      <c r="BS76" s="288">
        <f t="shared" si="238"/>
        <v>1.7559779537466236E-2</v>
      </c>
      <c r="BT76" s="467">
        <v>417.74907300000001</v>
      </c>
      <c r="BU76" s="287">
        <f t="shared" si="239"/>
        <v>0.400070943788158</v>
      </c>
      <c r="BV76" s="288">
        <f t="shared" si="240"/>
        <v>1.8743801835201035</v>
      </c>
      <c r="BW76" s="467">
        <v>0</v>
      </c>
      <c r="BX76" s="287">
        <f t="shared" si="241"/>
        <v>-1</v>
      </c>
      <c r="BY76" s="288">
        <f t="shared" si="242"/>
        <v>-1</v>
      </c>
      <c r="BZ76" s="467">
        <v>0</v>
      </c>
      <c r="CA76" s="287">
        <f t="shared" si="243"/>
        <v>0</v>
      </c>
      <c r="CB76" s="513">
        <f t="shared" si="244"/>
        <v>-1</v>
      </c>
      <c r="CC76" s="521">
        <v>0.43</v>
      </c>
      <c r="CD76" s="287">
        <f t="shared" si="245"/>
        <v>0</v>
      </c>
      <c r="CE76" s="288">
        <f t="shared" si="246"/>
        <v>-0.99855887051644299</v>
      </c>
      <c r="CF76" s="467">
        <v>3</v>
      </c>
      <c r="CG76" s="287">
        <f t="shared" si="223"/>
        <v>5.9767441860465116</v>
      </c>
      <c r="CH76" s="288">
        <f t="shared" si="224"/>
        <v>-0.99281865551859649</v>
      </c>
      <c r="CI76" s="467">
        <v>3.4489999999999998</v>
      </c>
      <c r="CJ76" s="287">
        <f t="shared" si="247"/>
        <v>0.14966666666666661</v>
      </c>
      <c r="CK76" s="288">
        <f t="shared" si="248"/>
        <v>0</v>
      </c>
      <c r="CL76" s="467"/>
      <c r="CM76" s="287">
        <f t="shared" si="249"/>
        <v>-1</v>
      </c>
      <c r="CN76" s="288">
        <f t="shared" si="250"/>
        <v>0</v>
      </c>
      <c r="CO76" s="521">
        <v>2304.462</v>
      </c>
      <c r="CP76" s="287">
        <f t="shared" si="251"/>
        <v>0</v>
      </c>
      <c r="CQ76" s="287">
        <f t="shared" si="252"/>
        <v>5358.2139534883718</v>
      </c>
      <c r="CR76" s="716">
        <v>0</v>
      </c>
      <c r="CS76" s="287">
        <f t="shared" si="253"/>
        <v>-1</v>
      </c>
      <c r="CT76" s="288">
        <f t="shared" si="254"/>
        <v>-1</v>
      </c>
      <c r="CU76" s="716">
        <v>0</v>
      </c>
      <c r="CV76" s="287">
        <f t="shared" si="255"/>
        <v>0</v>
      </c>
      <c r="CW76" s="288">
        <f t="shared" si="256"/>
        <v>-1</v>
      </c>
      <c r="CX76" s="716">
        <v>0</v>
      </c>
      <c r="CY76" s="287">
        <f t="shared" si="257"/>
        <v>0</v>
      </c>
      <c r="CZ76" s="513">
        <f t="shared" si="258"/>
        <v>0</v>
      </c>
    </row>
    <row r="77" spans="1:108" ht="16.2" customHeight="1">
      <c r="C77" s="512" t="s">
        <v>43</v>
      </c>
      <c r="D77" s="639" t="s">
        <v>44</v>
      </c>
      <c r="E77" s="275"/>
      <c r="F77" s="275"/>
      <c r="G77" s="275"/>
      <c r="H77" s="134"/>
      <c r="I77" s="134"/>
      <c r="K77" s="134"/>
      <c r="L77" s="134"/>
      <c r="N77" s="134"/>
      <c r="O77" s="134"/>
      <c r="Q77" s="134"/>
      <c r="R77" s="134"/>
      <c r="T77" s="134"/>
      <c r="U77" s="134"/>
      <c r="W77" s="134"/>
      <c r="X77" s="134"/>
      <c r="Z77" s="134"/>
      <c r="AA77" s="134"/>
      <c r="AC77" s="134"/>
      <c r="AD77" s="275"/>
      <c r="AG77" s="275"/>
      <c r="AJ77" s="275"/>
      <c r="AM77" s="275"/>
      <c r="AP77" s="521">
        <v>5499.2839999999997</v>
      </c>
      <c r="AQ77" s="287"/>
      <c r="AR77" s="513"/>
      <c r="AS77" s="521">
        <v>6337.1589999999997</v>
      </c>
      <c r="AT77" s="287">
        <f t="shared" si="225"/>
        <v>0.15236074368954222</v>
      </c>
      <c r="AU77" s="288"/>
      <c r="AV77" s="467">
        <v>6525.123646</v>
      </c>
      <c r="AW77" s="287">
        <f t="shared" si="226"/>
        <v>2.9660711684841745E-2</v>
      </c>
      <c r="AX77" s="288"/>
      <c r="AY77" s="467">
        <v>12357.352303</v>
      </c>
      <c r="AZ77" s="287">
        <f t="shared" si="227"/>
        <v>0.89381120932095204</v>
      </c>
      <c r="BA77" s="288"/>
      <c r="BB77" s="467">
        <v>5313.3263299999999</v>
      </c>
      <c r="BC77" s="287">
        <f t="shared" si="228"/>
        <v>-0.57002712233832797</v>
      </c>
      <c r="BD77" s="513"/>
      <c r="BE77" s="521">
        <v>4526.287002</v>
      </c>
      <c r="BF77" s="287">
        <f t="shared" si="229"/>
        <v>-0.14812553927964744</v>
      </c>
      <c r="BG77" s="288">
        <f t="shared" si="230"/>
        <v>-0.28575454679297141</v>
      </c>
      <c r="BH77" s="467">
        <v>4508.4908890000006</v>
      </c>
      <c r="BI77" s="287">
        <f t="shared" si="231"/>
        <v>-3.9317243895793386E-3</v>
      </c>
      <c r="BJ77" s="288">
        <f t="shared" si="232"/>
        <v>-0.30905663500127323</v>
      </c>
      <c r="BK77" s="467">
        <v>4827.609316</v>
      </c>
      <c r="BL77" s="287">
        <f t="shared" si="233"/>
        <v>7.07816506358252E-2</v>
      </c>
      <c r="BM77" s="288">
        <f t="shared" si="234"/>
        <v>-0.60933303529527127</v>
      </c>
      <c r="BN77" s="467">
        <v>4634.01</v>
      </c>
      <c r="BO77" s="287">
        <f t="shared" si="235"/>
        <v>-4.0102523490946007E-2</v>
      </c>
      <c r="BP77" s="513">
        <f t="shared" si="236"/>
        <v>-0.12785142259462912</v>
      </c>
      <c r="BQ77" s="521">
        <v>5703.0082339999999</v>
      </c>
      <c r="BR77" s="287">
        <f t="shared" si="237"/>
        <v>0.23068535329013096</v>
      </c>
      <c r="BS77" s="288">
        <f t="shared" si="238"/>
        <v>0.25997494888858119</v>
      </c>
      <c r="BT77" s="467">
        <v>3527.1302330000003</v>
      </c>
      <c r="BU77" s="287">
        <f t="shared" si="239"/>
        <v>-0.38153162536710439</v>
      </c>
      <c r="BV77" s="288">
        <f t="shared" si="240"/>
        <v>-0.21766943311216702</v>
      </c>
      <c r="BW77" s="467">
        <v>4629.0795450000005</v>
      </c>
      <c r="BX77" s="287">
        <f t="shared" si="241"/>
        <v>0.31242093124039183</v>
      </c>
      <c r="BY77" s="288">
        <f t="shared" si="242"/>
        <v>-4.1123827137796387E-2</v>
      </c>
      <c r="BZ77" s="467">
        <v>5287.1030000000001</v>
      </c>
      <c r="CA77" s="287">
        <f t="shared" si="243"/>
        <v>0.14214995629330884</v>
      </c>
      <c r="CB77" s="513">
        <f t="shared" si="244"/>
        <v>0.14093474118528015</v>
      </c>
      <c r="CC77" s="521">
        <v>5211.62</v>
      </c>
      <c r="CD77" s="287">
        <f t="shared" si="245"/>
        <v>-1.427681662339475E-2</v>
      </c>
      <c r="CE77" s="288">
        <f t="shared" si="246"/>
        <v>-8.6162988696116272E-2</v>
      </c>
      <c r="CF77" s="467">
        <v>4850</v>
      </c>
      <c r="CG77" s="287">
        <f t="shared" si="223"/>
        <v>-6.9387253867319587E-2</v>
      </c>
      <c r="CH77" s="288">
        <f t="shared" si="224"/>
        <v>0.37505554930270679</v>
      </c>
      <c r="CI77" s="467">
        <v>3690.1660000000002</v>
      </c>
      <c r="CJ77" s="287">
        <f t="shared" si="247"/>
        <v>-0.23914103092783501</v>
      </c>
      <c r="CK77" s="288">
        <f t="shared" si="248"/>
        <v>-0.20282942556347894</v>
      </c>
      <c r="CL77" s="467">
        <v>4085.8714989999999</v>
      </c>
      <c r="CM77" s="287">
        <f t="shared" si="249"/>
        <v>0.10723243859490328</v>
      </c>
      <c r="CN77" s="288">
        <f t="shared" si="250"/>
        <v>-0.22720032142366064</v>
      </c>
      <c r="CO77" s="521">
        <v>5478.4570000000003</v>
      </c>
      <c r="CP77" s="287">
        <f t="shared" si="251"/>
        <v>0.34082949043816724</v>
      </c>
      <c r="CQ77" s="287">
        <f t="shared" si="252"/>
        <v>5.1200394503052804E-2</v>
      </c>
      <c r="CR77" s="716">
        <v>7845.3779999999997</v>
      </c>
      <c r="CS77" s="287">
        <f t="shared" si="253"/>
        <v>0.43204154016358975</v>
      </c>
      <c r="CT77" s="288">
        <f t="shared" si="254"/>
        <v>0.6176037113402062</v>
      </c>
      <c r="CU77" s="716">
        <v>0</v>
      </c>
      <c r="CV77" s="287">
        <f t="shared" si="255"/>
        <v>-1</v>
      </c>
      <c r="CW77" s="288">
        <f t="shared" si="256"/>
        <v>-1</v>
      </c>
      <c r="CX77" s="716">
        <v>0</v>
      </c>
      <c r="CY77" s="287">
        <f t="shared" si="257"/>
        <v>0</v>
      </c>
      <c r="CZ77" s="513">
        <f t="shared" si="258"/>
        <v>-1</v>
      </c>
    </row>
    <row r="78" spans="1:108" ht="16.2" customHeight="1">
      <c r="C78" s="512" t="s">
        <v>392</v>
      </c>
      <c r="D78" s="639" t="s">
        <v>393</v>
      </c>
      <c r="E78" s="275"/>
      <c r="F78" s="275"/>
      <c r="G78" s="275"/>
      <c r="H78" s="134"/>
      <c r="I78" s="134"/>
      <c r="K78" s="134"/>
      <c r="L78" s="134"/>
      <c r="N78" s="134"/>
      <c r="O78" s="134"/>
      <c r="Q78" s="134"/>
      <c r="R78" s="134"/>
      <c r="T78" s="134"/>
      <c r="U78" s="134"/>
      <c r="W78" s="134"/>
      <c r="X78" s="134"/>
      <c r="Z78" s="134"/>
      <c r="AA78" s="134"/>
      <c r="AC78" s="134"/>
      <c r="AD78" s="275"/>
      <c r="AG78" s="275"/>
      <c r="AJ78" s="275"/>
      <c r="AM78" s="275"/>
      <c r="AP78" s="521"/>
      <c r="AQ78" s="287"/>
      <c r="AR78" s="513"/>
      <c r="AS78" s="521"/>
      <c r="AT78" s="287"/>
      <c r="AU78" s="288"/>
      <c r="AV78" s="467"/>
      <c r="AW78" s="287"/>
      <c r="AX78" s="288"/>
      <c r="AY78" s="467"/>
      <c r="AZ78" s="287"/>
      <c r="BA78" s="288"/>
      <c r="BB78" s="467"/>
      <c r="BC78" s="287"/>
      <c r="BD78" s="513"/>
      <c r="BE78" s="521"/>
      <c r="BF78" s="287"/>
      <c r="BG78" s="288"/>
      <c r="BH78" s="467"/>
      <c r="BI78" s="287"/>
      <c r="BJ78" s="288"/>
      <c r="BK78" s="467"/>
      <c r="BL78" s="287"/>
      <c r="BM78" s="288"/>
      <c r="BN78" s="467"/>
      <c r="BO78" s="287"/>
      <c r="BP78" s="513"/>
      <c r="BQ78" s="521"/>
      <c r="BR78" s="287"/>
      <c r="BS78" s="288"/>
      <c r="BT78" s="467"/>
      <c r="BU78" s="287"/>
      <c r="BV78" s="288"/>
      <c r="BW78" s="467">
        <v>0</v>
      </c>
      <c r="BX78" s="287"/>
      <c r="BY78" s="288"/>
      <c r="BZ78" s="467">
        <v>222.459</v>
      </c>
      <c r="CA78" s="287">
        <f t="shared" si="243"/>
        <v>0</v>
      </c>
      <c r="CB78" s="513"/>
      <c r="CC78" s="521">
        <v>0</v>
      </c>
      <c r="CD78" s="287">
        <f t="shared" si="245"/>
        <v>-1</v>
      </c>
      <c r="CE78" s="288"/>
      <c r="CF78" s="467">
        <v>0</v>
      </c>
      <c r="CG78" s="287">
        <f t="shared" si="223"/>
        <v>0</v>
      </c>
      <c r="CH78" s="288">
        <f t="shared" si="224"/>
        <v>0</v>
      </c>
      <c r="CI78" s="467">
        <v>0</v>
      </c>
      <c r="CJ78" s="287">
        <f t="shared" si="247"/>
        <v>0</v>
      </c>
      <c r="CK78" s="288">
        <f t="shared" si="248"/>
        <v>0</v>
      </c>
      <c r="CL78" s="467"/>
      <c r="CM78" s="287">
        <f t="shared" si="249"/>
        <v>0</v>
      </c>
      <c r="CN78" s="288">
        <f t="shared" si="250"/>
        <v>-1</v>
      </c>
      <c r="CO78" s="521">
        <v>0</v>
      </c>
      <c r="CP78" s="287">
        <f t="shared" si="251"/>
        <v>0</v>
      </c>
      <c r="CQ78" s="287"/>
      <c r="CR78" s="716">
        <v>0</v>
      </c>
      <c r="CS78" s="287">
        <f t="shared" si="253"/>
        <v>0</v>
      </c>
      <c r="CT78" s="288">
        <f t="shared" si="254"/>
        <v>0</v>
      </c>
      <c r="CU78" s="716">
        <v>0</v>
      </c>
      <c r="CV78" s="287">
        <f t="shared" si="255"/>
        <v>0</v>
      </c>
      <c r="CW78" s="288">
        <f t="shared" si="256"/>
        <v>0</v>
      </c>
      <c r="CX78" s="716">
        <v>0</v>
      </c>
      <c r="CY78" s="287">
        <f t="shared" si="257"/>
        <v>0</v>
      </c>
      <c r="CZ78" s="513">
        <f t="shared" si="258"/>
        <v>0</v>
      </c>
    </row>
    <row r="79" spans="1:108" s="29" customFormat="1" ht="16.2" customHeight="1">
      <c r="A79" s="141"/>
      <c r="B79" s="30"/>
      <c r="C79" s="516"/>
      <c r="D79" s="640"/>
      <c r="E79" s="275"/>
      <c r="F79" s="275"/>
      <c r="G79" s="275"/>
      <c r="H79" s="134"/>
      <c r="I79" s="134"/>
      <c r="J79" s="275"/>
      <c r="K79" s="134"/>
      <c r="L79" s="134"/>
      <c r="M79" s="275"/>
      <c r="N79" s="134"/>
      <c r="O79" s="134"/>
      <c r="P79" s="275"/>
      <c r="Q79" s="134"/>
      <c r="R79" s="134"/>
      <c r="S79" s="275"/>
      <c r="T79" s="134"/>
      <c r="U79" s="134"/>
      <c r="V79" s="275"/>
      <c r="W79" s="134"/>
      <c r="X79" s="134"/>
      <c r="Y79" s="275"/>
      <c r="Z79" s="134"/>
      <c r="AA79" s="134"/>
      <c r="AB79" s="275"/>
      <c r="AC79" s="134"/>
      <c r="AD79" s="275"/>
      <c r="AE79" s="275"/>
      <c r="AF79" s="275"/>
      <c r="AG79" s="275"/>
      <c r="AH79" s="275"/>
      <c r="AI79" s="275"/>
      <c r="AJ79" s="275"/>
      <c r="AK79" s="275"/>
      <c r="AL79" s="275"/>
      <c r="AM79" s="275"/>
      <c r="AN79" s="275"/>
      <c r="AO79" s="275"/>
      <c r="AP79" s="522">
        <f>ROUND(SUM(AP75:AP77),0)</f>
        <v>6743</v>
      </c>
      <c r="AQ79" s="523"/>
      <c r="AR79" s="524"/>
      <c r="AS79" s="522">
        <f>ROUND(SUM(AS75:AS77),0)</f>
        <v>6687</v>
      </c>
      <c r="AT79" s="523">
        <f t="shared" si="225"/>
        <v>-8.3049087943052324E-3</v>
      </c>
      <c r="AU79" s="527"/>
      <c r="AV79" s="528">
        <f>ROUND(SUM(AV75:AV77),0)</f>
        <v>6630</v>
      </c>
      <c r="AW79" s="523">
        <f t="shared" si="226"/>
        <v>-8.5240017945267255E-3</v>
      </c>
      <c r="AX79" s="527"/>
      <c r="AY79" s="528">
        <f>ROUND(SUM(AY75:AY77),0)</f>
        <v>12630</v>
      </c>
      <c r="AZ79" s="523">
        <f t="shared" si="227"/>
        <v>0.90497737556561075</v>
      </c>
      <c r="BA79" s="527"/>
      <c r="BB79" s="528">
        <f>ROUND(SUM(BB75:BB77),0)</f>
        <v>6293</v>
      </c>
      <c r="BC79" s="523">
        <f t="shared" si="228"/>
        <v>-0.50174188440221701</v>
      </c>
      <c r="BD79" s="524"/>
      <c r="BE79" s="522">
        <f>ROUND(SUM(BE75:BE77),0)</f>
        <v>4826</v>
      </c>
      <c r="BF79" s="523">
        <f t="shared" si="229"/>
        <v>-0.23311616081360242</v>
      </c>
      <c r="BG79" s="527">
        <f t="shared" si="230"/>
        <v>-0.27830118139673998</v>
      </c>
      <c r="BH79" s="528">
        <f>ROUND(SUM(BH75:BH77),0)</f>
        <v>4662</v>
      </c>
      <c r="BI79" s="523">
        <f t="shared" si="231"/>
        <v>-3.3982594280978051E-2</v>
      </c>
      <c r="BJ79" s="527">
        <f t="shared" si="232"/>
        <v>-0.29683257918552031</v>
      </c>
      <c r="BK79" s="528">
        <f>ROUND(SUM(BK75:BK77),0)</f>
        <v>5309</v>
      </c>
      <c r="BL79" s="523">
        <f t="shared" si="233"/>
        <v>0.13878163878163874</v>
      </c>
      <c r="BM79" s="527">
        <f t="shared" si="234"/>
        <v>-0.57965162311955654</v>
      </c>
      <c r="BN79" s="528">
        <f>ROUND(SUM(BN75:BN77),0)</f>
        <v>5072</v>
      </c>
      <c r="BO79" s="523">
        <f t="shared" si="235"/>
        <v>-4.4641175362591823E-2</v>
      </c>
      <c r="BP79" s="524">
        <f t="shared" si="236"/>
        <v>-0.19402510726203714</v>
      </c>
      <c r="BQ79" s="522">
        <f>ROUND(SUM(BQ75:BQ77),0)</f>
        <v>6002</v>
      </c>
      <c r="BR79" s="523">
        <f t="shared" si="237"/>
        <v>0.18335962145110418</v>
      </c>
      <c r="BS79" s="527">
        <f t="shared" si="238"/>
        <v>0.24368006630750094</v>
      </c>
      <c r="BT79" s="528">
        <f>ROUND(SUM(BT75:BT77),0)</f>
        <v>3945</v>
      </c>
      <c r="BU79" s="523">
        <f t="shared" si="239"/>
        <v>-0.34271909363545483</v>
      </c>
      <c r="BV79" s="527">
        <f t="shared" si="240"/>
        <v>-0.15379665379665375</v>
      </c>
      <c r="BW79" s="528">
        <f>ROUND(SUM(BW75:BW77),0)</f>
        <v>4632</v>
      </c>
      <c r="BX79" s="523">
        <f t="shared" si="241"/>
        <v>0.17414448669201521</v>
      </c>
      <c r="BY79" s="527">
        <f t="shared" si="242"/>
        <v>-0.12751930683744583</v>
      </c>
      <c r="BZ79" s="528">
        <f>ROUND(SUM(BZ75:BZ78),0)</f>
        <v>5530</v>
      </c>
      <c r="CA79" s="523">
        <f t="shared" si="243"/>
        <v>0.19386873920552672</v>
      </c>
      <c r="CB79" s="524">
        <f t="shared" si="244"/>
        <v>9.0299684542586744E-2</v>
      </c>
      <c r="CC79" s="522">
        <f>ROUND(SUM(CC75:CC77),0)</f>
        <v>5479</v>
      </c>
      <c r="CD79" s="523">
        <f t="shared" si="245"/>
        <v>-9.2224231464738127E-3</v>
      </c>
      <c r="CE79" s="527">
        <f t="shared" si="246"/>
        <v>-8.7137620793068971E-2</v>
      </c>
      <c r="CF79" s="528">
        <f>ROUND(SUM(CF75:CF77),0)</f>
        <v>4888</v>
      </c>
      <c r="CG79" s="523">
        <f t="shared" si="223"/>
        <v>-0.10786639897791572</v>
      </c>
      <c r="CH79" s="527">
        <f t="shared" si="224"/>
        <v>0.23903675538656532</v>
      </c>
      <c r="CI79" s="528">
        <f>ROUND(SUM(CI75:CI77),0)</f>
        <v>3948</v>
      </c>
      <c r="CJ79" s="523">
        <f t="shared" si="247"/>
        <v>-0.19230769230769229</v>
      </c>
      <c r="CK79" s="527">
        <f t="shared" si="248"/>
        <v>-0.14766839378238339</v>
      </c>
      <c r="CL79" s="528">
        <f>ROUND(SUM(CL75:CL77),0)</f>
        <v>4937</v>
      </c>
      <c r="CM79" s="523">
        <f t="shared" si="249"/>
        <v>0.25050658561296868</v>
      </c>
      <c r="CN79" s="527">
        <f t="shared" si="250"/>
        <v>-0.1072332730560579</v>
      </c>
      <c r="CO79" s="522">
        <f>ROUND(SUM(CO75:CO77),0)</f>
        <v>9053</v>
      </c>
      <c r="CP79" s="523">
        <f t="shared" si="251"/>
        <v>0.8337046789548308</v>
      </c>
      <c r="CQ79" s="523">
        <f t="shared" ref="CQ79" si="259">IFERROR(CO79/CC79-1,)</f>
        <v>0.65230881547727693</v>
      </c>
      <c r="CR79" s="717">
        <f>ROUND(SUM(CR75:CR77),0)</f>
        <v>8165</v>
      </c>
      <c r="CS79" s="523">
        <f t="shared" si="253"/>
        <v>-9.808903126035573E-2</v>
      </c>
      <c r="CT79" s="527">
        <f t="shared" si="254"/>
        <v>0.67041734860883806</v>
      </c>
      <c r="CU79" s="717">
        <f>ROUND(SUM(CU75:CU77),0)</f>
        <v>0</v>
      </c>
      <c r="CV79" s="523">
        <f t="shared" si="255"/>
        <v>-1</v>
      </c>
      <c r="CW79" s="527">
        <f t="shared" si="256"/>
        <v>-1</v>
      </c>
      <c r="CX79" s="717">
        <f>ROUND(SUM(CX75:CX77),0)</f>
        <v>0</v>
      </c>
      <c r="CY79" s="523">
        <f t="shared" si="257"/>
        <v>0</v>
      </c>
      <c r="CZ79" s="524">
        <f t="shared" si="258"/>
        <v>-1</v>
      </c>
    </row>
    <row r="80" spans="1:108" ht="16.2" customHeight="1">
      <c r="E80" s="275"/>
      <c r="F80" s="275"/>
      <c r="G80" s="275"/>
      <c r="H80" s="134"/>
      <c r="I80" s="134"/>
      <c r="K80" s="134"/>
      <c r="L80" s="134"/>
      <c r="N80" s="134"/>
      <c r="O80" s="134"/>
      <c r="Q80" s="134"/>
      <c r="R80" s="134"/>
      <c r="T80" s="134"/>
      <c r="U80" s="134"/>
      <c r="W80" s="134"/>
      <c r="X80" s="134"/>
      <c r="Z80" s="134"/>
      <c r="AA80" s="134"/>
      <c r="AC80" s="134"/>
      <c r="AD80" s="275"/>
      <c r="AG80" s="275"/>
      <c r="AJ80" s="275"/>
      <c r="AM80" s="275"/>
      <c r="AP80" s="134" t="b">
        <f>AP74=AP79</f>
        <v>1</v>
      </c>
      <c r="AR80" s="134"/>
      <c r="AS80" s="134" t="b">
        <f>AS74=AS79</f>
        <v>1</v>
      </c>
      <c r="AU80" s="134"/>
      <c r="AV80" s="134" t="b">
        <f>AV74=AV79</f>
        <v>1</v>
      </c>
      <c r="AX80" s="134"/>
      <c r="AY80" s="134" t="b">
        <f>AY74=AY79</f>
        <v>1</v>
      </c>
      <c r="BA80" s="134"/>
      <c r="BB80" s="134" t="b">
        <f>BB74=BB79</f>
        <v>1</v>
      </c>
      <c r="BD80" s="134"/>
      <c r="BE80" s="425" t="b">
        <f>BE74=BE79</f>
        <v>1</v>
      </c>
      <c r="BG80" s="134"/>
      <c r="BH80" s="425" t="b">
        <f>BH74=BH79</f>
        <v>1</v>
      </c>
      <c r="BJ80" s="134"/>
      <c r="BK80" s="425" t="b">
        <f>BK74=BK79</f>
        <v>1</v>
      </c>
      <c r="BM80" s="134"/>
      <c r="BN80" s="425" t="b">
        <f>BN74=BN79</f>
        <v>1</v>
      </c>
      <c r="BP80" s="134"/>
      <c r="BQ80" s="425" t="b">
        <f>BQ74=BQ79</f>
        <v>1</v>
      </c>
      <c r="BS80" s="134"/>
      <c r="BT80" s="425" t="b">
        <f>BT74=BT79</f>
        <v>1</v>
      </c>
      <c r="BV80" s="134"/>
      <c r="BW80" s="425" t="b">
        <f>BW74=BW79</f>
        <v>1</v>
      </c>
      <c r="BY80" s="134"/>
      <c r="BZ80" s="425" t="b">
        <f>BZ74=BZ79</f>
        <v>1</v>
      </c>
      <c r="CB80" s="134"/>
      <c r="CC80" s="425" t="b">
        <f>CC74=CC79</f>
        <v>1</v>
      </c>
      <c r="CE80" s="134"/>
      <c r="CF80" s="425" t="b">
        <f>CF74=CF79</f>
        <v>1</v>
      </c>
      <c r="CH80" s="134"/>
      <c r="CI80" s="425" t="b">
        <f>CI74=CI79</f>
        <v>1</v>
      </c>
      <c r="CK80" s="134"/>
      <c r="CL80" s="425" t="b">
        <f>CL74=CL79</f>
        <v>1</v>
      </c>
      <c r="CN80" s="134"/>
      <c r="CO80" s="425" t="b">
        <f>CO74=CO79</f>
        <v>1</v>
      </c>
      <c r="CQ80" s="134"/>
      <c r="CR80" s="425" t="b">
        <f>CR74=CR79</f>
        <v>1</v>
      </c>
      <c r="CT80" s="134"/>
      <c r="CU80" s="425" t="b">
        <f>CU74=CU79</f>
        <v>1</v>
      </c>
      <c r="CW80" s="134"/>
      <c r="CX80" s="425" t="b">
        <f>CX74=CX79</f>
        <v>1</v>
      </c>
      <c r="CZ80" s="134"/>
    </row>
    <row r="81" spans="1:107" ht="16.2" customHeight="1">
      <c r="E81" s="275"/>
      <c r="F81" s="275"/>
      <c r="G81" s="275"/>
      <c r="H81" s="275"/>
      <c r="I81" s="275"/>
      <c r="L81" s="275"/>
      <c r="O81" s="275"/>
      <c r="R81" s="275"/>
      <c r="U81" s="275"/>
      <c r="X81" s="275"/>
      <c r="AA81" s="275"/>
      <c r="AD81" s="275"/>
      <c r="AG81" s="275"/>
      <c r="AJ81" s="275"/>
      <c r="AM81" s="275"/>
      <c r="AP81" s="275"/>
      <c r="AS81" s="275"/>
      <c r="AV81" s="275"/>
      <c r="AY81" s="275"/>
      <c r="BB81" s="275"/>
      <c r="BE81" s="275"/>
      <c r="BH81" s="275"/>
      <c r="BK81" s="275"/>
      <c r="BN81" s="275"/>
      <c r="BQ81" s="275"/>
      <c r="BT81" s="275"/>
      <c r="BW81" s="275"/>
      <c r="BZ81" s="275"/>
      <c r="CC81" s="275"/>
      <c r="CF81" s="275"/>
      <c r="CI81" s="275"/>
      <c r="CL81" s="275"/>
      <c r="CO81" s="275"/>
      <c r="CR81" s="275"/>
      <c r="CU81" s="275"/>
      <c r="CX81" s="275"/>
    </row>
    <row r="82" spans="1:107" s="1" customFormat="1" ht="16.2" customHeight="1">
      <c r="A82" s="142"/>
      <c r="B82" s="615"/>
      <c r="C82" s="581" t="str">
        <f>C30</f>
        <v>기타채무</v>
      </c>
      <c r="D82" s="641" t="str">
        <f t="shared" ref="D82:BM82" si="260">D30</f>
        <v>Other Liabilities</v>
      </c>
      <c r="E82" s="616">
        <f t="shared" si="260"/>
        <v>0</v>
      </c>
      <c r="F82" s="616">
        <f t="shared" si="260"/>
        <v>0</v>
      </c>
      <c r="G82" s="616">
        <f t="shared" si="260"/>
        <v>0</v>
      </c>
      <c r="H82" s="617">
        <f t="shared" si="260"/>
        <v>0</v>
      </c>
      <c r="I82" s="617">
        <f t="shared" si="260"/>
        <v>0</v>
      </c>
      <c r="J82" s="616">
        <f t="shared" si="260"/>
        <v>0</v>
      </c>
      <c r="K82" s="617">
        <f t="shared" si="260"/>
        <v>0</v>
      </c>
      <c r="L82" s="617">
        <f t="shared" si="260"/>
        <v>0</v>
      </c>
      <c r="M82" s="616">
        <f t="shared" si="260"/>
        <v>0</v>
      </c>
      <c r="N82" s="617">
        <f t="shared" si="260"/>
        <v>0</v>
      </c>
      <c r="O82" s="617">
        <f t="shared" si="260"/>
        <v>0</v>
      </c>
      <c r="P82" s="616">
        <f t="shared" si="260"/>
        <v>0</v>
      </c>
      <c r="Q82" s="617">
        <f t="shared" si="260"/>
        <v>0</v>
      </c>
      <c r="R82" s="617">
        <f t="shared" si="260"/>
        <v>0</v>
      </c>
      <c r="S82" s="616">
        <f t="shared" si="260"/>
        <v>0</v>
      </c>
      <c r="T82" s="617">
        <f t="shared" si="260"/>
        <v>0</v>
      </c>
      <c r="U82" s="617">
        <f t="shared" si="260"/>
        <v>0</v>
      </c>
      <c r="V82" s="616">
        <f t="shared" si="260"/>
        <v>0</v>
      </c>
      <c r="W82" s="617">
        <f t="shared" si="260"/>
        <v>0</v>
      </c>
      <c r="X82" s="617">
        <f t="shared" si="260"/>
        <v>0</v>
      </c>
      <c r="Y82" s="616">
        <f t="shared" si="260"/>
        <v>0</v>
      </c>
      <c r="Z82" s="617">
        <f t="shared" si="260"/>
        <v>0</v>
      </c>
      <c r="AA82" s="617">
        <f t="shared" si="260"/>
        <v>0</v>
      </c>
      <c r="AB82" s="616">
        <f t="shared" si="260"/>
        <v>0</v>
      </c>
      <c r="AC82" s="617">
        <f t="shared" si="260"/>
        <v>0</v>
      </c>
      <c r="AD82" s="616">
        <f t="shared" si="260"/>
        <v>0</v>
      </c>
      <c r="AE82" s="616">
        <f t="shared" si="260"/>
        <v>0</v>
      </c>
      <c r="AF82" s="616">
        <f t="shared" si="260"/>
        <v>0</v>
      </c>
      <c r="AG82" s="616">
        <f t="shared" si="260"/>
        <v>0</v>
      </c>
      <c r="AH82" s="616">
        <f t="shared" si="260"/>
        <v>0</v>
      </c>
      <c r="AI82" s="616">
        <f t="shared" si="260"/>
        <v>0</v>
      </c>
      <c r="AJ82" s="616">
        <f t="shared" si="260"/>
        <v>0</v>
      </c>
      <c r="AK82" s="616">
        <f t="shared" si="260"/>
        <v>0</v>
      </c>
      <c r="AL82" s="616">
        <f t="shared" si="260"/>
        <v>0</v>
      </c>
      <c r="AM82" s="616">
        <f t="shared" si="260"/>
        <v>0</v>
      </c>
      <c r="AN82" s="616">
        <f t="shared" si="260"/>
        <v>0</v>
      </c>
      <c r="AO82" s="616">
        <f t="shared" si="260"/>
        <v>0</v>
      </c>
      <c r="AP82" s="618">
        <f t="shared" si="260"/>
        <v>0</v>
      </c>
      <c r="AQ82" s="619">
        <f t="shared" si="260"/>
        <v>0</v>
      </c>
      <c r="AR82" s="620">
        <f t="shared" si="260"/>
        <v>0</v>
      </c>
      <c r="AS82" s="618">
        <f t="shared" si="260"/>
        <v>0</v>
      </c>
      <c r="AT82" s="619">
        <f t="shared" si="260"/>
        <v>0</v>
      </c>
      <c r="AU82" s="621">
        <f t="shared" si="260"/>
        <v>0</v>
      </c>
      <c r="AV82" s="622">
        <f t="shared" si="260"/>
        <v>0</v>
      </c>
      <c r="AW82" s="619">
        <f t="shared" si="260"/>
        <v>0</v>
      </c>
      <c r="AX82" s="621">
        <f t="shared" si="260"/>
        <v>0</v>
      </c>
      <c r="AY82" s="622">
        <f t="shared" si="260"/>
        <v>0</v>
      </c>
      <c r="AZ82" s="619">
        <f t="shared" si="260"/>
        <v>0</v>
      </c>
      <c r="BA82" s="621">
        <f t="shared" si="260"/>
        <v>0</v>
      </c>
      <c r="BB82" s="622">
        <f t="shared" si="260"/>
        <v>0</v>
      </c>
      <c r="BC82" s="619">
        <f t="shared" si="260"/>
        <v>0</v>
      </c>
      <c r="BD82" s="620">
        <f t="shared" si="260"/>
        <v>0</v>
      </c>
      <c r="BE82" s="618">
        <f t="shared" si="260"/>
        <v>0</v>
      </c>
      <c r="BF82" s="619">
        <f t="shared" si="260"/>
        <v>0</v>
      </c>
      <c r="BG82" s="621">
        <f t="shared" si="260"/>
        <v>0</v>
      </c>
      <c r="BH82" s="622">
        <f t="shared" si="260"/>
        <v>0</v>
      </c>
      <c r="BI82" s="619">
        <f t="shared" si="260"/>
        <v>0</v>
      </c>
      <c r="BJ82" s="621">
        <f t="shared" si="260"/>
        <v>0</v>
      </c>
      <c r="BK82" s="622">
        <f t="shared" si="260"/>
        <v>0</v>
      </c>
      <c r="BL82" s="619">
        <f t="shared" si="260"/>
        <v>0</v>
      </c>
      <c r="BM82" s="621">
        <f t="shared" si="260"/>
        <v>0</v>
      </c>
      <c r="BN82" s="622"/>
      <c r="BO82" s="619"/>
      <c r="BP82" s="620"/>
      <c r="BQ82" s="1053" t="s">
        <v>433</v>
      </c>
      <c r="BR82" s="1054"/>
      <c r="BS82" s="1054"/>
      <c r="BT82" s="1054"/>
      <c r="BU82" s="1054"/>
      <c r="BV82" s="1054"/>
      <c r="BW82" s="1054"/>
      <c r="BX82" s="1054"/>
      <c r="BY82" s="1055"/>
      <c r="BZ82" s="526">
        <f t="shared" ref="BZ82:CI82" si="261">BZ30</f>
        <v>20700.788656000001</v>
      </c>
      <c r="CA82" s="519"/>
      <c r="CB82" s="520"/>
      <c r="CC82" s="518">
        <f>CC30</f>
        <v>26550.251</v>
      </c>
      <c r="CD82" s="519">
        <f t="shared" si="261"/>
        <v>0.28257195613194996</v>
      </c>
      <c r="CE82" s="525"/>
      <c r="CF82" s="526">
        <f t="shared" si="261"/>
        <v>9778</v>
      </c>
      <c r="CG82" s="519">
        <f t="shared" si="223"/>
        <v>-0.63171722933994112</v>
      </c>
      <c r="CH82" s="525">
        <f t="shared" si="224"/>
        <v>0</v>
      </c>
      <c r="CI82" s="526">
        <f t="shared" si="261"/>
        <v>11034.160042</v>
      </c>
      <c r="CJ82" s="519">
        <f t="shared" ref="CJ82:CJ87" si="262">IFERROR(CI82/CF82-1,0)</f>
        <v>0.128467993659235</v>
      </c>
      <c r="CK82" s="525">
        <f t="shared" ref="CK82:CK87" si="263">IFERROR(CI82/BW82-1,)</f>
        <v>0</v>
      </c>
      <c r="CL82" s="526">
        <f t="shared" ref="CL82" si="264">CL30</f>
        <v>17129.642</v>
      </c>
      <c r="CM82" s="519">
        <f t="shared" ref="CM82:CM87" si="265">IFERROR(CL82/CI82-1,0)</f>
        <v>0.55241920860295601</v>
      </c>
      <c r="CN82" s="525">
        <f t="shared" ref="CN82:CN87" si="266">IFERROR(CL82/BZ82-1,)</f>
        <v>-0.17251258951261861</v>
      </c>
      <c r="CO82" s="518">
        <f>CO30</f>
        <v>75568.221183000001</v>
      </c>
      <c r="CP82" s="519">
        <f t="shared" ref="CP82" si="267">CP30</f>
        <v>3.4115470237498249</v>
      </c>
      <c r="CQ82" s="519"/>
      <c r="CR82" s="715">
        <f t="shared" ref="CR82" si="268">CR30</f>
        <v>18378.73486</v>
      </c>
      <c r="CS82" s="519">
        <f t="shared" ref="CS82:CS87" si="269">IFERROR(CR82/CO82-1,0)</f>
        <v>-0.756792808242858</v>
      </c>
      <c r="CT82" s="525">
        <f t="shared" ref="CT82:CT87" si="270">IFERROR(CR82/CF82-1,)</f>
        <v>0.8796006197586419</v>
      </c>
      <c r="CU82" s="715">
        <f t="shared" ref="CU82" si="271">CU30</f>
        <v>0</v>
      </c>
      <c r="CV82" s="519">
        <f t="shared" ref="CV82:CV87" si="272">IFERROR(CU82/CR82-1,0)</f>
        <v>-1</v>
      </c>
      <c r="CW82" s="525">
        <f t="shared" ref="CW82:CW87" si="273">IFERROR(CU82/CI82-1,)</f>
        <v>-1</v>
      </c>
      <c r="CX82" s="715">
        <f t="shared" ref="CX82" si="274">CX30</f>
        <v>0</v>
      </c>
      <c r="CY82" s="519">
        <f t="shared" ref="CY82:CY87" si="275">IFERROR(CX82/CU82-1,0)</f>
        <v>0</v>
      </c>
      <c r="CZ82" s="520">
        <f t="shared" ref="CZ82:CZ87" si="276">IFERROR(CX82/CL82-1,)</f>
        <v>-1</v>
      </c>
      <c r="DB82" s="8"/>
      <c r="DC82" s="8"/>
    </row>
    <row r="83" spans="1:107" ht="16.2" customHeight="1">
      <c r="C83" s="512" t="s">
        <v>372</v>
      </c>
      <c r="D83" s="639" t="s">
        <v>329</v>
      </c>
      <c r="E83" s="275"/>
      <c r="F83" s="275"/>
      <c r="G83" s="275"/>
      <c r="H83" s="134"/>
      <c r="I83" s="134"/>
      <c r="K83" s="134"/>
      <c r="L83" s="134"/>
      <c r="N83" s="134"/>
      <c r="O83" s="134"/>
      <c r="Q83" s="134"/>
      <c r="R83" s="134"/>
      <c r="T83" s="134"/>
      <c r="U83" s="134"/>
      <c r="W83" s="134"/>
      <c r="X83" s="134"/>
      <c r="Z83" s="134"/>
      <c r="AA83" s="134"/>
      <c r="AC83" s="134"/>
      <c r="AD83" s="275"/>
      <c r="AG83" s="275"/>
      <c r="AJ83" s="275"/>
      <c r="AM83" s="275"/>
      <c r="AP83" s="521"/>
      <c r="AQ83" s="287"/>
      <c r="AR83" s="513"/>
      <c r="AS83" s="521"/>
      <c r="AT83" s="287"/>
      <c r="AU83" s="288"/>
      <c r="AV83" s="467"/>
      <c r="AW83" s="287"/>
      <c r="AX83" s="288"/>
      <c r="AY83" s="467"/>
      <c r="AZ83" s="287"/>
      <c r="BA83" s="288"/>
      <c r="BB83" s="467"/>
      <c r="BC83" s="287"/>
      <c r="BD83" s="513"/>
      <c r="BE83" s="521"/>
      <c r="BF83" s="287"/>
      <c r="BG83" s="288"/>
      <c r="BH83" s="467"/>
      <c r="BI83" s="287"/>
      <c r="BJ83" s="288"/>
      <c r="BK83" s="467"/>
      <c r="BL83" s="287"/>
      <c r="BM83" s="288"/>
      <c r="BN83" s="467"/>
      <c r="BO83" s="287"/>
      <c r="BP83" s="513"/>
      <c r="BQ83" s="1056"/>
      <c r="BR83" s="1057"/>
      <c r="BS83" s="1057"/>
      <c r="BT83" s="1057"/>
      <c r="BU83" s="1057"/>
      <c r="BV83" s="1057"/>
      <c r="BW83" s="1057"/>
      <c r="BX83" s="1057"/>
      <c r="BY83" s="1058"/>
      <c r="BZ83" s="467">
        <v>13102.477000000001</v>
      </c>
      <c r="CA83" s="287"/>
      <c r="CB83" s="513"/>
      <c r="CC83" s="521">
        <v>4946.942</v>
      </c>
      <c r="CD83" s="287">
        <f>IFERROR(CC83/BZ83-1,0)</f>
        <v>-0.6224422298165454</v>
      </c>
      <c r="CE83" s="288"/>
      <c r="CF83" s="467">
        <v>4674</v>
      </c>
      <c r="CG83" s="287">
        <f t="shared" si="223"/>
        <v>-5.5173883178739502E-2</v>
      </c>
      <c r="CH83" s="288">
        <f t="shared" si="224"/>
        <v>0</v>
      </c>
      <c r="CI83" s="467">
        <v>4709.9459999999999</v>
      </c>
      <c r="CJ83" s="287">
        <f t="shared" si="262"/>
        <v>7.6906290115532627E-3</v>
      </c>
      <c r="CK83" s="288">
        <f t="shared" si="263"/>
        <v>0</v>
      </c>
      <c r="CL83" s="467">
        <v>8795.7520000000004</v>
      </c>
      <c r="CM83" s="287">
        <f t="shared" si="265"/>
        <v>0.86748468029145154</v>
      </c>
      <c r="CN83" s="288">
        <f t="shared" si="266"/>
        <v>-0.32869548254120196</v>
      </c>
      <c r="CO83" s="521">
        <v>6261.5339999999997</v>
      </c>
      <c r="CP83" s="287">
        <f>IFERROR(CO83/CL83-1,0)</f>
        <v>-0.28811840079165496</v>
      </c>
      <c r="CQ83" s="287"/>
      <c r="CR83" s="716">
        <v>11909.834999999999</v>
      </c>
      <c r="CS83" s="287">
        <f t="shared" si="269"/>
        <v>0.90206345601573035</v>
      </c>
      <c r="CT83" s="288">
        <f t="shared" si="270"/>
        <v>1.5481033376123232</v>
      </c>
      <c r="CU83" s="716">
        <v>0</v>
      </c>
      <c r="CV83" s="287">
        <f t="shared" si="272"/>
        <v>-1</v>
      </c>
      <c r="CW83" s="288">
        <f t="shared" si="273"/>
        <v>-1</v>
      </c>
      <c r="CX83" s="716">
        <v>0</v>
      </c>
      <c r="CY83" s="287">
        <f t="shared" si="275"/>
        <v>0</v>
      </c>
      <c r="CZ83" s="513">
        <f t="shared" si="276"/>
        <v>-1</v>
      </c>
    </row>
    <row r="84" spans="1:107" ht="16.2" customHeight="1">
      <c r="C84" s="512" t="s">
        <v>371</v>
      </c>
      <c r="D84" s="639" t="s">
        <v>387</v>
      </c>
      <c r="E84" s="275"/>
      <c r="F84" s="275"/>
      <c r="G84" s="275"/>
      <c r="H84" s="134"/>
      <c r="I84" s="134"/>
      <c r="K84" s="134"/>
      <c r="L84" s="134"/>
      <c r="N84" s="134"/>
      <c r="O84" s="134"/>
      <c r="Q84" s="134"/>
      <c r="R84" s="134"/>
      <c r="T84" s="134"/>
      <c r="U84" s="134"/>
      <c r="W84" s="134"/>
      <c r="X84" s="134"/>
      <c r="Z84" s="134"/>
      <c r="AA84" s="134"/>
      <c r="AC84" s="134"/>
      <c r="AD84" s="275"/>
      <c r="AG84" s="275"/>
      <c r="AJ84" s="275"/>
      <c r="AM84" s="275"/>
      <c r="AP84" s="521"/>
      <c r="AQ84" s="287"/>
      <c r="AR84" s="513"/>
      <c r="AS84" s="521"/>
      <c r="AT84" s="287"/>
      <c r="AU84" s="288"/>
      <c r="AV84" s="467"/>
      <c r="AW84" s="287"/>
      <c r="AX84" s="288"/>
      <c r="AY84" s="467"/>
      <c r="AZ84" s="287"/>
      <c r="BA84" s="288"/>
      <c r="BB84" s="467"/>
      <c r="BC84" s="287"/>
      <c r="BD84" s="513"/>
      <c r="BE84" s="521"/>
      <c r="BF84" s="287"/>
      <c r="BG84" s="288"/>
      <c r="BH84" s="467"/>
      <c r="BI84" s="287"/>
      <c r="BJ84" s="288"/>
      <c r="BK84" s="467"/>
      <c r="BL84" s="287"/>
      <c r="BM84" s="288"/>
      <c r="BN84" s="467"/>
      <c r="BO84" s="287"/>
      <c r="BP84" s="513"/>
      <c r="BQ84" s="1056"/>
      <c r="BR84" s="1057"/>
      <c r="BS84" s="1057"/>
      <c r="BT84" s="1057"/>
      <c r="BU84" s="1057"/>
      <c r="BV84" s="1057"/>
      <c r="BW84" s="1057"/>
      <c r="BX84" s="1057"/>
      <c r="BY84" s="1058"/>
      <c r="BZ84" s="467">
        <v>7063.7960000000003</v>
      </c>
      <c r="CA84" s="287"/>
      <c r="CB84" s="513"/>
      <c r="CC84" s="521">
        <v>4397.3829999999998</v>
      </c>
      <c r="CD84" s="287">
        <f>IFERROR(CC84/BZ84-1,0)</f>
        <v>-0.37747593503549659</v>
      </c>
      <c r="CE84" s="288"/>
      <c r="CF84" s="467">
        <v>4569</v>
      </c>
      <c r="CG84" s="287">
        <f t="shared" si="223"/>
        <v>3.9027075876720385E-2</v>
      </c>
      <c r="CH84" s="288">
        <f t="shared" si="224"/>
        <v>0</v>
      </c>
      <c r="CI84" s="467">
        <v>5789.7089999999998</v>
      </c>
      <c r="CJ84" s="287">
        <f t="shared" si="262"/>
        <v>0.26717202889034786</v>
      </c>
      <c r="CK84" s="288">
        <f t="shared" si="263"/>
        <v>0</v>
      </c>
      <c r="CL84" s="467">
        <v>7876.1149999999998</v>
      </c>
      <c r="CM84" s="287">
        <f t="shared" si="265"/>
        <v>0.36036457100002783</v>
      </c>
      <c r="CN84" s="288">
        <f t="shared" si="266"/>
        <v>0.11499751691583393</v>
      </c>
      <c r="CO84" s="521">
        <v>3605.4229999999998</v>
      </c>
      <c r="CP84" s="287">
        <f>IFERROR(CO84/CL84-1,0)</f>
        <v>-0.54223332188521889</v>
      </c>
      <c r="CQ84" s="287"/>
      <c r="CR84" s="716">
        <v>6028.5469999999996</v>
      </c>
      <c r="CS84" s="287">
        <f t="shared" si="269"/>
        <v>0.67207758978627474</v>
      </c>
      <c r="CT84" s="288">
        <f t="shared" si="270"/>
        <v>0.31944561173123209</v>
      </c>
      <c r="CU84" s="716">
        <v>0</v>
      </c>
      <c r="CV84" s="287">
        <f t="shared" si="272"/>
        <v>-1</v>
      </c>
      <c r="CW84" s="288">
        <f t="shared" si="273"/>
        <v>-1</v>
      </c>
      <c r="CX84" s="716">
        <v>0</v>
      </c>
      <c r="CY84" s="287">
        <f t="shared" si="275"/>
        <v>0</v>
      </c>
      <c r="CZ84" s="513">
        <f t="shared" si="276"/>
        <v>-1</v>
      </c>
    </row>
    <row r="85" spans="1:107" ht="16.2" customHeight="1">
      <c r="C85" s="512" t="s">
        <v>373</v>
      </c>
      <c r="D85" s="639" t="s">
        <v>388</v>
      </c>
      <c r="E85" s="275"/>
      <c r="F85" s="275"/>
      <c r="G85" s="275"/>
      <c r="H85" s="134"/>
      <c r="I85" s="134"/>
      <c r="K85" s="134"/>
      <c r="L85" s="134"/>
      <c r="N85" s="134"/>
      <c r="O85" s="134"/>
      <c r="Q85" s="134"/>
      <c r="R85" s="134"/>
      <c r="T85" s="134"/>
      <c r="U85" s="134"/>
      <c r="W85" s="134"/>
      <c r="X85" s="134"/>
      <c r="Z85" s="134"/>
      <c r="AA85" s="134"/>
      <c r="AC85" s="134"/>
      <c r="AD85" s="275"/>
      <c r="AG85" s="275"/>
      <c r="AJ85" s="275"/>
      <c r="AM85" s="275"/>
      <c r="AP85" s="521"/>
      <c r="AQ85" s="287"/>
      <c r="AR85" s="513"/>
      <c r="AS85" s="521"/>
      <c r="AT85" s="287"/>
      <c r="AU85" s="288"/>
      <c r="AV85" s="467"/>
      <c r="AW85" s="287"/>
      <c r="AX85" s="288"/>
      <c r="AY85" s="467"/>
      <c r="AZ85" s="287"/>
      <c r="BA85" s="288"/>
      <c r="BB85" s="467"/>
      <c r="BC85" s="287"/>
      <c r="BD85" s="513"/>
      <c r="BE85" s="521"/>
      <c r="BF85" s="287"/>
      <c r="BG85" s="288"/>
      <c r="BH85" s="467"/>
      <c r="BI85" s="287"/>
      <c r="BJ85" s="288"/>
      <c r="BK85" s="467"/>
      <c r="BL85" s="287"/>
      <c r="BM85" s="288"/>
      <c r="BN85" s="467"/>
      <c r="BO85" s="287"/>
      <c r="BP85" s="513"/>
      <c r="BQ85" s="1056"/>
      <c r="BR85" s="1057"/>
      <c r="BS85" s="1057"/>
      <c r="BT85" s="1057"/>
      <c r="BU85" s="1057"/>
      <c r="BV85" s="1057"/>
      <c r="BW85" s="1057"/>
      <c r="BX85" s="1057"/>
      <c r="BY85" s="1058"/>
      <c r="BZ85" s="467">
        <v>534.50400000000002</v>
      </c>
      <c r="CA85" s="287"/>
      <c r="CB85" s="513"/>
      <c r="CC85" s="521">
        <v>372.08300000000003</v>
      </c>
      <c r="CD85" s="287">
        <f>IFERROR(CC85/BZ85-1,0)</f>
        <v>-0.30387237513657517</v>
      </c>
      <c r="CE85" s="288"/>
      <c r="CF85" s="467">
        <v>535</v>
      </c>
      <c r="CG85" s="287">
        <f t="shared" si="223"/>
        <v>0.43785123211756516</v>
      </c>
      <c r="CH85" s="288">
        <f t="shared" si="224"/>
        <v>0</v>
      </c>
      <c r="CI85" s="467">
        <v>534.505</v>
      </c>
      <c r="CJ85" s="287">
        <f t="shared" si="262"/>
        <v>-9.2523364485985748E-4</v>
      </c>
      <c r="CK85" s="288">
        <f t="shared" si="263"/>
        <v>0</v>
      </c>
      <c r="CL85" s="467">
        <v>457.77499999999998</v>
      </c>
      <c r="CM85" s="287">
        <f t="shared" si="265"/>
        <v>-0.14355338116575156</v>
      </c>
      <c r="CN85" s="288">
        <f t="shared" si="266"/>
        <v>-0.14355177884543435</v>
      </c>
      <c r="CO85" s="521">
        <v>547.77499999999998</v>
      </c>
      <c r="CP85" s="287">
        <f>IFERROR(CO85/CL85-1,0)</f>
        <v>0.19660313472775925</v>
      </c>
      <c r="CQ85" s="287"/>
      <c r="CR85" s="716">
        <v>440.35300000000001</v>
      </c>
      <c r="CS85" s="287">
        <f t="shared" si="269"/>
        <v>-0.19610606544657927</v>
      </c>
      <c r="CT85" s="288">
        <f t="shared" si="270"/>
        <v>-0.17691028037383172</v>
      </c>
      <c r="CU85" s="716">
        <v>0</v>
      </c>
      <c r="CV85" s="287">
        <f t="shared" si="272"/>
        <v>-1</v>
      </c>
      <c r="CW85" s="288">
        <f t="shared" si="273"/>
        <v>-1</v>
      </c>
      <c r="CX85" s="716">
        <v>0</v>
      </c>
      <c r="CY85" s="287">
        <f t="shared" si="275"/>
        <v>0</v>
      </c>
      <c r="CZ85" s="513">
        <f t="shared" si="276"/>
        <v>-1</v>
      </c>
    </row>
    <row r="86" spans="1:107" ht="16.2" customHeight="1">
      <c r="C86" s="512" t="s">
        <v>394</v>
      </c>
      <c r="D86" s="639" t="s">
        <v>395</v>
      </c>
      <c r="E86" s="275"/>
      <c r="F86" s="275"/>
      <c r="G86" s="275"/>
      <c r="H86" s="134"/>
      <c r="I86" s="134"/>
      <c r="K86" s="134"/>
      <c r="L86" s="134"/>
      <c r="N86" s="134"/>
      <c r="O86" s="134"/>
      <c r="Q86" s="134"/>
      <c r="R86" s="134"/>
      <c r="T86" s="134"/>
      <c r="U86" s="134"/>
      <c r="W86" s="134"/>
      <c r="X86" s="134"/>
      <c r="Z86" s="134"/>
      <c r="AA86" s="134"/>
      <c r="AC86" s="134"/>
      <c r="AD86" s="275"/>
      <c r="AG86" s="275"/>
      <c r="AJ86" s="275"/>
      <c r="AM86" s="275"/>
      <c r="AP86" s="521"/>
      <c r="AQ86" s="287"/>
      <c r="AR86" s="513"/>
      <c r="AS86" s="521"/>
      <c r="AT86" s="287"/>
      <c r="AU86" s="288"/>
      <c r="AV86" s="467"/>
      <c r="AW86" s="287"/>
      <c r="AX86" s="288"/>
      <c r="AY86" s="467"/>
      <c r="AZ86" s="287"/>
      <c r="BA86" s="288"/>
      <c r="BB86" s="467"/>
      <c r="BC86" s="287"/>
      <c r="BD86" s="513"/>
      <c r="BE86" s="521"/>
      <c r="BF86" s="287"/>
      <c r="BG86" s="288"/>
      <c r="BH86" s="467"/>
      <c r="BI86" s="287"/>
      <c r="BJ86" s="288"/>
      <c r="BK86" s="467"/>
      <c r="BL86" s="287"/>
      <c r="BM86" s="288"/>
      <c r="BN86" s="467"/>
      <c r="BO86" s="287"/>
      <c r="BP86" s="513"/>
      <c r="BQ86" s="1056"/>
      <c r="BR86" s="1057"/>
      <c r="BS86" s="1057"/>
      <c r="BT86" s="1057"/>
      <c r="BU86" s="1057"/>
      <c r="BV86" s="1057"/>
      <c r="BW86" s="1057"/>
      <c r="BX86" s="1057"/>
      <c r="BY86" s="1058"/>
      <c r="BZ86" s="467">
        <v>0</v>
      </c>
      <c r="CA86" s="287"/>
      <c r="CB86" s="513"/>
      <c r="CC86" s="521">
        <v>16833.43</v>
      </c>
      <c r="CD86" s="287">
        <f>IFERROR(CC86/BZ86-1,0)</f>
        <v>0</v>
      </c>
      <c r="CE86" s="288"/>
      <c r="CF86" s="467">
        <v>0</v>
      </c>
      <c r="CG86" s="287">
        <f t="shared" si="223"/>
        <v>-1</v>
      </c>
      <c r="CH86" s="288">
        <f t="shared" si="224"/>
        <v>0</v>
      </c>
      <c r="CI86" s="467">
        <v>0</v>
      </c>
      <c r="CJ86" s="287">
        <f t="shared" si="262"/>
        <v>0</v>
      </c>
      <c r="CK86" s="288">
        <f t="shared" si="263"/>
        <v>0</v>
      </c>
      <c r="CL86" s="467"/>
      <c r="CM86" s="287">
        <f t="shared" si="265"/>
        <v>0</v>
      </c>
      <c r="CN86" s="288">
        <f t="shared" si="266"/>
        <v>0</v>
      </c>
      <c r="CO86" s="521">
        <v>65153.489000000001</v>
      </c>
      <c r="CP86" s="287">
        <f>IFERROR(CO86/CL86-1,0)</f>
        <v>0</v>
      </c>
      <c r="CQ86" s="287"/>
      <c r="CR86" s="716">
        <v>0</v>
      </c>
      <c r="CS86" s="287">
        <f t="shared" si="269"/>
        <v>-1</v>
      </c>
      <c r="CT86" s="288">
        <f t="shared" si="270"/>
        <v>0</v>
      </c>
      <c r="CU86" s="716">
        <v>0</v>
      </c>
      <c r="CV86" s="287">
        <f t="shared" si="272"/>
        <v>0</v>
      </c>
      <c r="CW86" s="288">
        <f t="shared" si="273"/>
        <v>0</v>
      </c>
      <c r="CX86" s="716">
        <v>0</v>
      </c>
      <c r="CY86" s="287">
        <f t="shared" si="275"/>
        <v>0</v>
      </c>
      <c r="CZ86" s="513">
        <f t="shared" si="276"/>
        <v>0</v>
      </c>
    </row>
    <row r="87" spans="1:107" s="29" customFormat="1" ht="16.2" customHeight="1">
      <c r="A87" s="141"/>
      <c r="B87" s="30"/>
      <c r="C87" s="516"/>
      <c r="D87" s="640"/>
      <c r="E87" s="275"/>
      <c r="F87" s="275"/>
      <c r="G87" s="275"/>
      <c r="H87" s="134"/>
      <c r="I87" s="134"/>
      <c r="J87" s="275"/>
      <c r="K87" s="134"/>
      <c r="L87" s="134"/>
      <c r="M87" s="275"/>
      <c r="N87" s="134"/>
      <c r="O87" s="134"/>
      <c r="P87" s="275"/>
      <c r="Q87" s="134"/>
      <c r="R87" s="134"/>
      <c r="S87" s="275"/>
      <c r="T87" s="134"/>
      <c r="U87" s="134"/>
      <c r="V87" s="275"/>
      <c r="W87" s="134"/>
      <c r="X87" s="134"/>
      <c r="Y87" s="275"/>
      <c r="Z87" s="134"/>
      <c r="AA87" s="134"/>
      <c r="AB87" s="275"/>
      <c r="AC87" s="134"/>
      <c r="AD87" s="275"/>
      <c r="AE87" s="275"/>
      <c r="AF87" s="275"/>
      <c r="AG87" s="275"/>
      <c r="AH87" s="275"/>
      <c r="AI87" s="275"/>
      <c r="AJ87" s="275"/>
      <c r="AK87" s="275"/>
      <c r="AL87" s="275"/>
      <c r="AM87" s="275"/>
      <c r="AN87" s="275"/>
      <c r="AO87" s="275"/>
      <c r="AP87" s="522"/>
      <c r="AQ87" s="523"/>
      <c r="AR87" s="524"/>
      <c r="AS87" s="522"/>
      <c r="AT87" s="523"/>
      <c r="AU87" s="527"/>
      <c r="AV87" s="528"/>
      <c r="AW87" s="523"/>
      <c r="AX87" s="527"/>
      <c r="AY87" s="528"/>
      <c r="AZ87" s="523"/>
      <c r="BA87" s="527"/>
      <c r="BB87" s="528"/>
      <c r="BC87" s="523"/>
      <c r="BD87" s="524"/>
      <c r="BE87" s="522"/>
      <c r="BF87" s="523"/>
      <c r="BG87" s="527"/>
      <c r="BH87" s="528"/>
      <c r="BI87" s="523"/>
      <c r="BJ87" s="527"/>
      <c r="BK87" s="528"/>
      <c r="BL87" s="523"/>
      <c r="BM87" s="527"/>
      <c r="BN87" s="522"/>
      <c r="BO87" s="523"/>
      <c r="BP87" s="524"/>
      <c r="BQ87" s="1059"/>
      <c r="BR87" s="1060"/>
      <c r="BS87" s="1060"/>
      <c r="BT87" s="1060"/>
      <c r="BU87" s="1060"/>
      <c r="BV87" s="1060"/>
      <c r="BW87" s="1060"/>
      <c r="BX87" s="1060"/>
      <c r="BY87" s="1061"/>
      <c r="BZ87" s="528">
        <f>SUM(BZ83:BZ86)</f>
        <v>20700.777000000002</v>
      </c>
      <c r="CA87" s="523"/>
      <c r="CB87" s="524"/>
      <c r="CC87" s="522">
        <f>SUM(CC83:CC86)</f>
        <v>26549.838000000003</v>
      </c>
      <c r="CD87" s="523">
        <f>IFERROR(CC87/BZ87-1,0)</f>
        <v>0.28255272736863946</v>
      </c>
      <c r="CE87" s="527"/>
      <c r="CF87" s="528">
        <f>SUM(CF83:CF86)</f>
        <v>9778</v>
      </c>
      <c r="CG87" s="523">
        <f t="shared" si="223"/>
        <v>-0.63171150046188607</v>
      </c>
      <c r="CH87" s="527">
        <f t="shared" si="224"/>
        <v>0</v>
      </c>
      <c r="CI87" s="528">
        <f>SUM(CI83:CI86)</f>
        <v>11034.159999999998</v>
      </c>
      <c r="CJ87" s="523">
        <f t="shared" si="262"/>
        <v>0.12846798936387782</v>
      </c>
      <c r="CK87" s="527">
        <f t="shared" si="263"/>
        <v>0</v>
      </c>
      <c r="CL87" s="528">
        <f>SUM(CL83:CL86)</f>
        <v>17129.642</v>
      </c>
      <c r="CM87" s="523">
        <f t="shared" si="265"/>
        <v>0.5524192145120248</v>
      </c>
      <c r="CN87" s="527">
        <f t="shared" si="266"/>
        <v>-0.17251212357874302</v>
      </c>
      <c r="CO87" s="522">
        <f>SUM(CO83:CO86)</f>
        <v>75568.221000000005</v>
      </c>
      <c r="CP87" s="523">
        <f>IFERROR(CO87/CL87-1,0)</f>
        <v>3.4115470130665901</v>
      </c>
      <c r="CQ87" s="523"/>
      <c r="CR87" s="717">
        <f>SUM(CR83:CR86)</f>
        <v>18378.734999999997</v>
      </c>
      <c r="CS87" s="523">
        <f t="shared" si="269"/>
        <v>-0.75679280580126407</v>
      </c>
      <c r="CT87" s="527">
        <f t="shared" si="270"/>
        <v>0.87960063407649791</v>
      </c>
      <c r="CU87" s="717">
        <f>SUM(CU83:CU86)</f>
        <v>0</v>
      </c>
      <c r="CV87" s="523">
        <f t="shared" si="272"/>
        <v>-1</v>
      </c>
      <c r="CW87" s="527">
        <f t="shared" si="273"/>
        <v>-1</v>
      </c>
      <c r="CX87" s="717">
        <f>SUM(CX83:CX86)</f>
        <v>0</v>
      </c>
      <c r="CY87" s="523">
        <f t="shared" si="275"/>
        <v>0</v>
      </c>
      <c r="CZ87" s="524">
        <f t="shared" si="276"/>
        <v>-1</v>
      </c>
      <c r="DB87" s="8"/>
      <c r="DC87" s="8"/>
    </row>
    <row r="88" spans="1:107" ht="16.2" customHeight="1">
      <c r="E88" s="275"/>
      <c r="F88" s="275"/>
      <c r="G88" s="275"/>
      <c r="H88" s="275"/>
      <c r="I88" s="275"/>
      <c r="L88" s="275"/>
      <c r="O88" s="275"/>
      <c r="U88" s="275"/>
      <c r="X88" s="275"/>
      <c r="AA88" s="275"/>
      <c r="AG88" s="275"/>
      <c r="AJ88" s="275"/>
      <c r="AM88" s="275"/>
      <c r="AS88" s="275"/>
      <c r="AV88" s="275"/>
      <c r="AY88" s="275"/>
      <c r="BE88" s="275"/>
      <c r="BH88" s="275"/>
      <c r="BK88" s="275"/>
      <c r="BN88" s="275"/>
      <c r="BQ88" s="275" t="e">
        <f>ROUND(BQ87,0)=ROUND(BQ82,)</f>
        <v>#VALUE!</v>
      </c>
      <c r="BT88" s="275" t="b">
        <f>ROUND(BT87,0)=ROUND(BT82,)</f>
        <v>1</v>
      </c>
      <c r="BW88" s="275" t="b">
        <f>ROUND(BW87,0)=ROUND(BW82,)</f>
        <v>1</v>
      </c>
      <c r="BZ88" s="275" t="b">
        <f>ROUND(BZ87,0)=ROUND(BZ82,)</f>
        <v>1</v>
      </c>
      <c r="CC88" s="275" t="b">
        <f>ROUND(CC87,0)=ROUND(CC82,)</f>
        <v>1</v>
      </c>
      <c r="CF88" s="275" t="b">
        <f>ROUND(CF87,0)=ROUND(CF82,)</f>
        <v>1</v>
      </c>
      <c r="CI88" s="275" t="b">
        <f>ROUND(CI87,0)=ROUND(CI82,)</f>
        <v>1</v>
      </c>
      <c r="CL88" s="275" t="b">
        <f>ROUND(CL87,0)=ROUND(CL82,)</f>
        <v>1</v>
      </c>
      <c r="CO88" s="275" t="b">
        <f>ROUND(CO87,0)=ROUND(CO82,)</f>
        <v>1</v>
      </c>
      <c r="CR88" s="275" t="b">
        <f>ROUND(CR87,0)=ROUND(CR82,)</f>
        <v>1</v>
      </c>
      <c r="CU88" s="275" t="b">
        <f>ROUND(CU87,0)=ROUND(CU82,)</f>
        <v>1</v>
      </c>
      <c r="CX88" s="275" t="b">
        <f>ROUND(CX87,0)=ROUND(CX82,)</f>
        <v>1</v>
      </c>
      <c r="DB88" s="29"/>
      <c r="DC88" s="29"/>
    </row>
    <row r="89" spans="1:107" ht="16.2" customHeight="1">
      <c r="E89" s="275"/>
      <c r="F89" s="275"/>
      <c r="G89" s="275"/>
      <c r="H89" s="275"/>
      <c r="I89" s="275"/>
      <c r="L89" s="275"/>
      <c r="O89" s="275"/>
      <c r="U89" s="275"/>
      <c r="X89" s="275"/>
      <c r="AA89" s="275"/>
      <c r="AG89" s="275"/>
      <c r="AJ89" s="275"/>
      <c r="AM89" s="275"/>
      <c r="AS89" s="275"/>
      <c r="AV89" s="275"/>
      <c r="AY89" s="275"/>
      <c r="BE89" s="275"/>
      <c r="BH89" s="275"/>
      <c r="BK89" s="275"/>
      <c r="BN89" s="275"/>
      <c r="BQ89" s="275"/>
      <c r="BT89" s="275"/>
      <c r="BW89" s="275"/>
      <c r="BZ89" s="275"/>
      <c r="CC89" s="275"/>
      <c r="CF89" s="275"/>
      <c r="CI89" s="275"/>
      <c r="CL89" s="275"/>
      <c r="CO89" s="275"/>
      <c r="CR89" s="275"/>
      <c r="CU89" s="275"/>
      <c r="CX89" s="275"/>
    </row>
    <row r="90" spans="1:107" s="1" customFormat="1" ht="16.2" customHeight="1">
      <c r="A90" s="142"/>
      <c r="B90" s="615"/>
      <c r="C90" s="581" t="s">
        <v>142</v>
      </c>
      <c r="D90" s="641" t="str">
        <f>D50</f>
        <v>Capital Adjustments</v>
      </c>
      <c r="E90" s="616">
        <f t="shared" ref="E90:BP90" si="277">E50</f>
        <v>137.363878</v>
      </c>
      <c r="F90" s="616">
        <f t="shared" si="277"/>
        <v>165.41250400000001</v>
      </c>
      <c r="G90" s="616">
        <f t="shared" si="277"/>
        <v>193.46113</v>
      </c>
      <c r="H90" s="617">
        <f t="shared" si="277"/>
        <v>213.68881300000001</v>
      </c>
      <c r="I90" s="617">
        <f t="shared" si="277"/>
        <v>218.27461099999999</v>
      </c>
      <c r="J90" s="616">
        <f t="shared" si="277"/>
        <v>2.1460168810989666E-2</v>
      </c>
      <c r="K90" s="617">
        <f t="shared" si="277"/>
        <v>0.58902481626210346</v>
      </c>
      <c r="L90" s="617">
        <f t="shared" si="277"/>
        <v>222.860409</v>
      </c>
      <c r="M90" s="616">
        <f t="shared" si="277"/>
        <v>2.1009305566921821E-2</v>
      </c>
      <c r="N90" s="617">
        <f t="shared" si="277"/>
        <v>0.34730086064110366</v>
      </c>
      <c r="O90" s="617">
        <f t="shared" si="277"/>
        <v>155.795863</v>
      </c>
      <c r="P90" s="616">
        <f t="shared" si="277"/>
        <v>-0.30092624482260555</v>
      </c>
      <c r="Q90" s="617">
        <f t="shared" si="277"/>
        <v>-0.19469165201299088</v>
      </c>
      <c r="R90" s="617">
        <f t="shared" si="277"/>
        <v>33.000321</v>
      </c>
      <c r="S90" s="616">
        <f t="shared" si="277"/>
        <v>-0.78818230237602649</v>
      </c>
      <c r="T90" s="617">
        <f t="shared" si="277"/>
        <v>-0.84556832649915092</v>
      </c>
      <c r="U90" s="617">
        <f t="shared" si="277"/>
        <v>5.4051049999999998</v>
      </c>
      <c r="V90" s="616">
        <f t="shared" si="277"/>
        <v>-0.83621053261875844</v>
      </c>
      <c r="W90" s="617">
        <f t="shared" si="277"/>
        <v>-0.97523713374067134</v>
      </c>
      <c r="X90" s="617">
        <f t="shared" si="277"/>
        <v>5.4051049999999998</v>
      </c>
      <c r="Y90" s="616">
        <f t="shared" si="277"/>
        <v>0</v>
      </c>
      <c r="Z90" s="617">
        <f t="shared" si="277"/>
        <v>-0.97574667916902191</v>
      </c>
      <c r="AA90" s="617">
        <f t="shared" si="277"/>
        <v>5.4051049999999998</v>
      </c>
      <c r="AB90" s="616">
        <f t="shared" si="277"/>
        <v>0</v>
      </c>
      <c r="AC90" s="617">
        <f t="shared" si="277"/>
        <v>-0.96530649212424846</v>
      </c>
      <c r="AD90" s="616">
        <f t="shared" si="277"/>
        <v>5.4051049999999998</v>
      </c>
      <c r="AE90" s="616">
        <f t="shared" si="277"/>
        <v>0</v>
      </c>
      <c r="AF90" s="616">
        <f t="shared" si="277"/>
        <v>-0.83621053261875844</v>
      </c>
      <c r="AG90" s="616">
        <f t="shared" si="277"/>
        <v>4.7891529999999998</v>
      </c>
      <c r="AH90" s="616">
        <f t="shared" si="277"/>
        <v>-0.1139574531854608</v>
      </c>
      <c r="AI90" s="616">
        <f t="shared" si="277"/>
        <v>-0.1139574531854608</v>
      </c>
      <c r="AJ90" s="616">
        <f t="shared" si="277"/>
        <v>4.7891529999999998</v>
      </c>
      <c r="AK90" s="616">
        <f t="shared" si="277"/>
        <v>0</v>
      </c>
      <c r="AL90" s="616">
        <f t="shared" si="277"/>
        <v>-0.1139574531854608</v>
      </c>
      <c r="AM90" s="616">
        <f t="shared" si="277"/>
        <v>4.7891529999999998</v>
      </c>
      <c r="AN90" s="616">
        <f t="shared" si="277"/>
        <v>0</v>
      </c>
      <c r="AO90" s="616">
        <f t="shared" si="277"/>
        <v>-0.1139574531854608</v>
      </c>
      <c r="AP90" s="618">
        <f t="shared" si="277"/>
        <v>4.7891529999999998</v>
      </c>
      <c r="AQ90" s="619">
        <f t="shared" si="277"/>
        <v>0</v>
      </c>
      <c r="AR90" s="620">
        <f t="shared" si="277"/>
        <v>-0.1139574531854608</v>
      </c>
      <c r="AS90" s="618">
        <f t="shared" si="277"/>
        <v>0</v>
      </c>
      <c r="AT90" s="619">
        <f t="shared" si="277"/>
        <v>-1</v>
      </c>
      <c r="AU90" s="621">
        <f t="shared" si="277"/>
        <v>-1</v>
      </c>
      <c r="AV90" s="622">
        <f t="shared" si="277"/>
        <v>0</v>
      </c>
      <c r="AW90" s="619">
        <f t="shared" si="277"/>
        <v>0</v>
      </c>
      <c r="AX90" s="621">
        <f t="shared" si="277"/>
        <v>-1</v>
      </c>
      <c r="AY90" s="622">
        <f t="shared" si="277"/>
        <v>-3255.1378</v>
      </c>
      <c r="AZ90" s="619">
        <f t="shared" si="277"/>
        <v>0</v>
      </c>
      <c r="BA90" s="621">
        <f t="shared" si="277"/>
        <v>-680.68966537506742</v>
      </c>
      <c r="BB90" s="622">
        <f t="shared" si="277"/>
        <v>-5421.9760999999999</v>
      </c>
      <c r="BC90" s="619">
        <f t="shared" si="277"/>
        <v>0.66566714932928495</v>
      </c>
      <c r="BD90" s="620">
        <f t="shared" si="277"/>
        <v>-1133.1367473538642</v>
      </c>
      <c r="BE90" s="618">
        <f t="shared" si="277"/>
        <v>-5410.8888230000002</v>
      </c>
      <c r="BF90" s="619">
        <f t="shared" si="277"/>
        <v>-2.0448775124626284E-3</v>
      </c>
      <c r="BG90" s="621">
        <f t="shared" si="277"/>
        <v>0</v>
      </c>
      <c r="BH90" s="622">
        <f t="shared" si="277"/>
        <v>-4888.8070379999999</v>
      </c>
      <c r="BI90" s="619">
        <f t="shared" si="277"/>
        <v>-9.6487250445951411E-2</v>
      </c>
      <c r="BJ90" s="621">
        <f t="shared" si="277"/>
        <v>0</v>
      </c>
      <c r="BK90" s="622">
        <f t="shared" si="277"/>
        <v>-14908.716833</v>
      </c>
      <c r="BL90" s="619">
        <f t="shared" si="277"/>
        <v>2.0495613177441183</v>
      </c>
      <c r="BM90" s="621">
        <f t="shared" si="277"/>
        <v>3.5800570510409733</v>
      </c>
      <c r="BN90" s="622">
        <f t="shared" si="277"/>
        <v>-18253.885541</v>
      </c>
      <c r="BO90" s="619">
        <f t="shared" si="277"/>
        <v>0.22437670159483925</v>
      </c>
      <c r="BP90" s="620">
        <f t="shared" si="277"/>
        <v>2.3666481010493574</v>
      </c>
      <c r="BQ90" s="618">
        <f t="shared" ref="BQ90:CI90" si="278">BQ50</f>
        <v>2166.4939330000002</v>
      </c>
      <c r="BR90" s="619">
        <f t="shared" si="278"/>
        <v>-1.1186867271701604</v>
      </c>
      <c r="BS90" s="621">
        <f t="shared" si="278"/>
        <v>-1.4003952037955225</v>
      </c>
      <c r="BT90" s="622">
        <f t="shared" si="278"/>
        <v>3260.1293999999998</v>
      </c>
      <c r="BU90" s="619">
        <f t="shared" si="278"/>
        <v>0.50479507481731756</v>
      </c>
      <c r="BV90" s="621">
        <f t="shared" si="278"/>
        <v>-1.666855814651607</v>
      </c>
      <c r="BW90" s="622">
        <f>BW50</f>
        <v>3830.9977199999998</v>
      </c>
      <c r="BX90" s="619">
        <f t="shared" si="278"/>
        <v>0.17510603106735578</v>
      </c>
      <c r="BY90" s="621">
        <f t="shared" si="278"/>
        <v>-1.256963611484001</v>
      </c>
      <c r="BZ90" s="622">
        <f t="shared" si="278"/>
        <v>4814.6642250000004</v>
      </c>
      <c r="CA90" s="619">
        <f t="shared" si="278"/>
        <v>0.25676509799645619</v>
      </c>
      <c r="CB90" s="620">
        <f t="shared" si="278"/>
        <v>-1.2637610614017381</v>
      </c>
      <c r="CC90" s="618">
        <f t="shared" si="278"/>
        <v>6028</v>
      </c>
      <c r="CD90" s="619">
        <f t="shared" si="278"/>
        <v>0.25200838901699307</v>
      </c>
      <c r="CE90" s="621">
        <f t="shared" si="278"/>
        <v>1.7823756661311636</v>
      </c>
      <c r="CF90" s="622">
        <f>CF50</f>
        <v>7585</v>
      </c>
      <c r="CG90" s="619">
        <f t="shared" si="223"/>
        <v>0.25829462508294632</v>
      </c>
      <c r="CH90" s="621">
        <f t="shared" si="224"/>
        <v>1.3265947664531352</v>
      </c>
      <c r="CI90" s="622">
        <f t="shared" si="278"/>
        <v>-1920.633503</v>
      </c>
      <c r="CJ90" s="619">
        <f t="shared" ref="CJ90:CJ95" si="279">IFERROR(CI90/CF90-1,0)</f>
        <v>-1.2532147004614371</v>
      </c>
      <c r="CK90" s="621">
        <f t="shared" ref="CK90:CK95" si="280">IFERROR(CI90/BW90-1,)</f>
        <v>-1.5013402887120486</v>
      </c>
      <c r="CL90" s="622">
        <f t="shared" ref="CL90" si="281">CL50</f>
        <v>-11307</v>
      </c>
      <c r="CM90" s="619">
        <f t="shared" ref="CM90:CM95" si="282">IFERROR(CL90/CI90-1,0)</f>
        <v>4.8871200478064347</v>
      </c>
      <c r="CN90" s="621">
        <f t="shared" ref="CN90:CN95" si="283">IFERROR(CL90/BZ90-1,)</f>
        <v>-3.3484503740237459</v>
      </c>
      <c r="CO90" s="618">
        <f t="shared" ref="CO90:CQ90" si="284">CO50</f>
        <v>2847.4256220000002</v>
      </c>
      <c r="CP90" s="619">
        <f t="shared" si="284"/>
        <v>-1.2518285683205095</v>
      </c>
      <c r="CQ90" s="619">
        <f t="shared" si="284"/>
        <v>-0.52763344027869929</v>
      </c>
      <c r="CR90" s="718">
        <f>CR50</f>
        <v>1638.424</v>
      </c>
      <c r="CS90" s="619">
        <f t="shared" ref="CS90:CS95" si="285">IFERROR(CR90/CO90-1,0)</f>
        <v>-0.42459462774336165</v>
      </c>
      <c r="CT90" s="621">
        <f t="shared" ref="CT90:CT95" si="286">IFERROR(CR90/CF90-1,)</f>
        <v>-0.78399156229400135</v>
      </c>
      <c r="CU90" s="718">
        <f t="shared" ref="CU90" si="287">CU50</f>
        <v>0</v>
      </c>
      <c r="CV90" s="619">
        <f t="shared" ref="CV90:CV95" si="288">IFERROR(CU90/CR90-1,0)</f>
        <v>-1</v>
      </c>
      <c r="CW90" s="621">
        <f t="shared" ref="CW90:CW95" si="289">IFERROR(CU90/CI90-1,)</f>
        <v>-1</v>
      </c>
      <c r="CX90" s="718">
        <f t="shared" ref="CX90" si="290">CX50</f>
        <v>0</v>
      </c>
      <c r="CY90" s="619">
        <f t="shared" ref="CY90:CY95" si="291">IFERROR(CX90/CU90-1,0)</f>
        <v>0</v>
      </c>
      <c r="CZ90" s="620">
        <f t="shared" ref="CZ90:CZ95" si="292">IFERROR(CX90/CL90-1,)</f>
        <v>-1</v>
      </c>
    </row>
    <row r="91" spans="1:107" ht="16.2" customHeight="1">
      <c r="C91" s="512" t="s">
        <v>374</v>
      </c>
      <c r="D91" s="639" t="s">
        <v>389</v>
      </c>
      <c r="E91" s="275"/>
      <c r="F91" s="275"/>
      <c r="G91" s="275"/>
      <c r="H91" s="134"/>
      <c r="I91" s="134"/>
      <c r="K91" s="134"/>
      <c r="L91" s="134"/>
      <c r="N91" s="134"/>
      <c r="O91" s="134"/>
      <c r="Q91" s="134"/>
      <c r="R91" s="134"/>
      <c r="T91" s="134"/>
      <c r="U91" s="134"/>
      <c r="W91" s="134"/>
      <c r="X91" s="134"/>
      <c r="Z91" s="134"/>
      <c r="AA91" s="134"/>
      <c r="AC91" s="134"/>
      <c r="AD91" s="275"/>
      <c r="AG91" s="275"/>
      <c r="AJ91" s="275"/>
      <c r="AM91" s="275"/>
      <c r="AP91" s="521"/>
      <c r="AQ91" s="287"/>
      <c r="AR91" s="513"/>
      <c r="AS91" s="521"/>
      <c r="AT91" s="287"/>
      <c r="AU91" s="288"/>
      <c r="AV91" s="467"/>
      <c r="AW91" s="287"/>
      <c r="AX91" s="288"/>
      <c r="AY91" s="467"/>
      <c r="AZ91" s="287"/>
      <c r="BA91" s="288"/>
      <c r="BB91" s="467"/>
      <c r="BC91" s="287"/>
      <c r="BD91" s="513"/>
      <c r="BE91" s="521"/>
      <c r="BF91" s="287"/>
      <c r="BG91" s="288"/>
      <c r="BH91" s="467"/>
      <c r="BI91" s="287"/>
      <c r="BJ91" s="288"/>
      <c r="BK91" s="467"/>
      <c r="BL91" s="287"/>
      <c r="BM91" s="288"/>
      <c r="BN91" s="467">
        <v>1746.0989999999999</v>
      </c>
      <c r="BO91" s="287"/>
      <c r="BP91" s="513"/>
      <c r="BQ91" s="521">
        <v>2166.4940000000001</v>
      </c>
      <c r="BR91" s="287"/>
      <c r="BS91" s="288"/>
      <c r="BT91" s="467">
        <v>3260.1289999999999</v>
      </c>
      <c r="BU91" s="287"/>
      <c r="BV91" s="288"/>
      <c r="BW91" s="467">
        <v>3830.998</v>
      </c>
      <c r="BX91" s="287"/>
      <c r="BY91" s="288"/>
      <c r="BZ91" s="467">
        <v>5054.7929999999997</v>
      </c>
      <c r="CA91" s="287">
        <f>IFERROR(BZ91/BW91-1,0)</f>
        <v>0.31944548130800365</v>
      </c>
      <c r="CB91" s="513">
        <f>IFERROR(BZ91/BN91-1,)</f>
        <v>1.8949063025636002</v>
      </c>
      <c r="CC91" s="521">
        <v>6274.366</v>
      </c>
      <c r="CD91" s="287">
        <f>IFERROR(CC91/BZ91-1,0)</f>
        <v>0.24127061187273147</v>
      </c>
      <c r="CE91" s="288">
        <f>IFERROR(CC91/BQ91-1,)</f>
        <v>1.8960920270261536</v>
      </c>
      <c r="CF91" s="467">
        <v>8414.1</v>
      </c>
      <c r="CG91" s="287">
        <f t="shared" si="223"/>
        <v>0.3410279221836916</v>
      </c>
      <c r="CH91" s="288">
        <f t="shared" si="224"/>
        <v>1.580910141899293</v>
      </c>
      <c r="CI91" s="467">
        <v>7677.8059999999996</v>
      </c>
      <c r="CJ91" s="287">
        <f t="shared" si="279"/>
        <v>-8.7507160599470057E-2</v>
      </c>
      <c r="CK91" s="288">
        <f t="shared" si="280"/>
        <v>1.0041268619821779</v>
      </c>
      <c r="CL91" s="467">
        <v>6881.1639999999998</v>
      </c>
      <c r="CM91" s="287">
        <f t="shared" si="282"/>
        <v>-0.1037590686714408</v>
      </c>
      <c r="CN91" s="288">
        <f t="shared" si="283"/>
        <v>0.36131469676404171</v>
      </c>
      <c r="CO91" s="521">
        <v>5201.7150000000001</v>
      </c>
      <c r="CP91" s="287">
        <f>IFERROR(CO91/CL91-1,0)</f>
        <v>-0.24406466696622831</v>
      </c>
      <c r="CQ91" s="287">
        <f>IFERROR(CO91/CC91-1,)</f>
        <v>-0.17095767126112815</v>
      </c>
      <c r="CR91" s="716">
        <v>5186.6610000000001</v>
      </c>
      <c r="CS91" s="287">
        <f t="shared" si="285"/>
        <v>-2.8940455215251681E-3</v>
      </c>
      <c r="CT91" s="288">
        <f t="shared" si="286"/>
        <v>-0.38357507041751349</v>
      </c>
      <c r="CU91" s="716">
        <v>0</v>
      </c>
      <c r="CV91" s="287">
        <f t="shared" si="288"/>
        <v>-1</v>
      </c>
      <c r="CW91" s="288">
        <f t="shared" si="289"/>
        <v>-1</v>
      </c>
      <c r="CX91" s="716">
        <v>0</v>
      </c>
      <c r="CY91" s="287">
        <f t="shared" si="291"/>
        <v>0</v>
      </c>
      <c r="CZ91" s="513">
        <f t="shared" si="292"/>
        <v>-1</v>
      </c>
    </row>
    <row r="92" spans="1:107" ht="16.2" customHeight="1">
      <c r="C92" s="512" t="s">
        <v>375</v>
      </c>
      <c r="D92" s="639" t="s">
        <v>390</v>
      </c>
      <c r="E92" s="275"/>
      <c r="F92" s="275"/>
      <c r="G92" s="275"/>
      <c r="H92" s="134"/>
      <c r="I92" s="134"/>
      <c r="K92" s="134"/>
      <c r="L92" s="134"/>
      <c r="N92" s="134"/>
      <c r="O92" s="134"/>
      <c r="Q92" s="134"/>
      <c r="R92" s="134"/>
      <c r="T92" s="134"/>
      <c r="U92" s="134"/>
      <c r="W92" s="134"/>
      <c r="X92" s="134"/>
      <c r="Z92" s="134"/>
      <c r="AA92" s="134"/>
      <c r="AC92" s="134"/>
      <c r="AD92" s="275"/>
      <c r="AG92" s="275"/>
      <c r="AJ92" s="275"/>
      <c r="AM92" s="275"/>
      <c r="AP92" s="521"/>
      <c r="AQ92" s="287"/>
      <c r="AR92" s="513"/>
      <c r="AS92" s="521"/>
      <c r="AT92" s="287"/>
      <c r="AU92" s="288"/>
      <c r="AV92" s="467"/>
      <c r="AW92" s="287"/>
      <c r="AX92" s="288"/>
      <c r="AY92" s="467"/>
      <c r="AZ92" s="287"/>
      <c r="BA92" s="288"/>
      <c r="BB92" s="467"/>
      <c r="BC92" s="287"/>
      <c r="BD92" s="513"/>
      <c r="BE92" s="521"/>
      <c r="BF92" s="287"/>
      <c r="BG92" s="288"/>
      <c r="BH92" s="467"/>
      <c r="BI92" s="287"/>
      <c r="BJ92" s="288"/>
      <c r="BK92" s="467"/>
      <c r="BL92" s="287"/>
      <c r="BM92" s="288"/>
      <c r="BN92" s="467">
        <f>-19999.985</f>
        <v>-19999.985000000001</v>
      </c>
      <c r="BO92" s="287"/>
      <c r="BP92" s="513"/>
      <c r="BQ92" s="521">
        <v>-19999.985000000001</v>
      </c>
      <c r="BR92" s="287"/>
      <c r="BS92" s="288"/>
      <c r="BT92" s="467">
        <v>-19999.985000000001</v>
      </c>
      <c r="BU92" s="287"/>
      <c r="BV92" s="288"/>
      <c r="BW92" s="467">
        <v>-19999.985000000001</v>
      </c>
      <c r="BX92" s="287"/>
      <c r="BY92" s="288"/>
      <c r="BZ92" s="467">
        <v>-240.12899999999999</v>
      </c>
      <c r="CA92" s="287">
        <f>IFERROR(BZ92/BW92-1,0)</f>
        <v>-0.98799354099515579</v>
      </c>
      <c r="CB92" s="513">
        <f>IFERROR(BZ92/BN92-1,)</f>
        <v>-0.98799354099515579</v>
      </c>
      <c r="CC92" s="521">
        <v>-246.72200000000001</v>
      </c>
      <c r="CD92" s="287">
        <f>IFERROR(CC92/BZ92-1,0)</f>
        <v>2.7456075692648518E-2</v>
      </c>
      <c r="CE92" s="288">
        <f>IFERROR(CC92/BQ92-1,)</f>
        <v>-0.98766389074791805</v>
      </c>
      <c r="CF92" s="467">
        <v>-827.51499999999999</v>
      </c>
      <c r="CG92" s="287">
        <f t="shared" si="223"/>
        <v>2.3540381481991877</v>
      </c>
      <c r="CH92" s="288">
        <f t="shared" si="224"/>
        <v>-0.95862421896816419</v>
      </c>
      <c r="CI92" s="467">
        <v>-9596.8130000000001</v>
      </c>
      <c r="CJ92" s="287">
        <f t="shared" si="279"/>
        <v>10.597146879512758</v>
      </c>
      <c r="CK92" s="288">
        <f t="shared" si="280"/>
        <v>-0.5201589901192426</v>
      </c>
      <c r="CL92" s="467">
        <v>-18407.0266133</v>
      </c>
      <c r="CM92" s="287">
        <f t="shared" si="282"/>
        <v>0.91803535333031916</v>
      </c>
      <c r="CN92" s="288">
        <f t="shared" si="283"/>
        <v>75.654742298098114</v>
      </c>
      <c r="CO92" s="521">
        <v>-834.37900000000002</v>
      </c>
      <c r="CP92" s="287">
        <f>IFERROR(CO92/CL92-1,0)</f>
        <v>-0.9546706256513412</v>
      </c>
      <c r="CQ92" s="287">
        <f>IFERROR(CO92/CC92-1,)</f>
        <v>2.3818589343471599</v>
      </c>
      <c r="CR92" s="716">
        <v>-834.37900000000002</v>
      </c>
      <c r="CS92" s="287">
        <f t="shared" si="285"/>
        <v>0</v>
      </c>
      <c r="CT92" s="288">
        <f t="shared" si="286"/>
        <v>8.2947136909905517E-3</v>
      </c>
      <c r="CU92" s="716">
        <v>0</v>
      </c>
      <c r="CV92" s="287">
        <f t="shared" si="288"/>
        <v>-1</v>
      </c>
      <c r="CW92" s="288">
        <f t="shared" si="289"/>
        <v>-1</v>
      </c>
      <c r="CX92" s="716">
        <v>0</v>
      </c>
      <c r="CY92" s="287">
        <f t="shared" si="291"/>
        <v>0</v>
      </c>
      <c r="CZ92" s="513">
        <f t="shared" si="292"/>
        <v>-1</v>
      </c>
    </row>
    <row r="93" spans="1:107" ht="16.2" customHeight="1">
      <c r="C93" s="512" t="s">
        <v>376</v>
      </c>
      <c r="D93" s="639" t="s">
        <v>391</v>
      </c>
      <c r="E93" s="275"/>
      <c r="F93" s="275"/>
      <c r="G93" s="275"/>
      <c r="H93" s="134"/>
      <c r="I93" s="134"/>
      <c r="K93" s="134"/>
      <c r="L93" s="134"/>
      <c r="N93" s="134"/>
      <c r="O93" s="134"/>
      <c r="Q93" s="134"/>
      <c r="R93" s="134"/>
      <c r="T93" s="134"/>
      <c r="U93" s="134"/>
      <c r="W93" s="134"/>
      <c r="X93" s="134"/>
      <c r="Z93" s="134"/>
      <c r="AA93" s="134"/>
      <c r="AC93" s="134"/>
      <c r="AD93" s="275"/>
      <c r="AG93" s="275"/>
      <c r="AJ93" s="275"/>
      <c r="AM93" s="275"/>
      <c r="AP93" s="521"/>
      <c r="AQ93" s="287"/>
      <c r="AR93" s="513"/>
      <c r="AS93" s="521"/>
      <c r="AT93" s="287"/>
      <c r="AU93" s="288"/>
      <c r="AV93" s="467"/>
      <c r="AW93" s="287"/>
      <c r="AX93" s="288"/>
      <c r="AY93" s="467"/>
      <c r="AZ93" s="287"/>
      <c r="BA93" s="288"/>
      <c r="BB93" s="467"/>
      <c r="BC93" s="287"/>
      <c r="BD93" s="513"/>
      <c r="BE93" s="521"/>
      <c r="BF93" s="287"/>
      <c r="BG93" s="288"/>
      <c r="BH93" s="467"/>
      <c r="BI93" s="287"/>
      <c r="BJ93" s="288"/>
      <c r="BK93" s="467"/>
      <c r="BL93" s="287"/>
      <c r="BM93" s="288"/>
      <c r="BN93" s="467"/>
      <c r="BO93" s="287"/>
      <c r="BP93" s="513"/>
      <c r="BQ93" s="521">
        <v>19999.985000000001</v>
      </c>
      <c r="BR93" s="287"/>
      <c r="BS93" s="288"/>
      <c r="BT93" s="467">
        <v>19999.985000000001</v>
      </c>
      <c r="BU93" s="287"/>
      <c r="BV93" s="288"/>
      <c r="BW93" s="467">
        <v>19999.985000000001</v>
      </c>
      <c r="BX93" s="287"/>
      <c r="BY93" s="288"/>
      <c r="BZ93" s="467">
        <v>0</v>
      </c>
      <c r="CA93" s="287">
        <f>IFERROR(BZ93/BW93-1,0)</f>
        <v>-1</v>
      </c>
      <c r="CB93" s="513">
        <f>IFERROR(BZ93/BN93-1,)</f>
        <v>0</v>
      </c>
      <c r="CC93" s="521">
        <v>0</v>
      </c>
      <c r="CD93" s="287">
        <f>IFERROR(CC93/BZ93-1,0)</f>
        <v>0</v>
      </c>
      <c r="CE93" s="288">
        <f>IFERROR(CC93/BQ93-1,)</f>
        <v>-1</v>
      </c>
      <c r="CF93" s="467">
        <v>-1.6160000000000001</v>
      </c>
      <c r="CG93" s="287">
        <f t="shared" si="223"/>
        <v>0</v>
      </c>
      <c r="CH93" s="288">
        <f t="shared" si="224"/>
        <v>-1.0000808000606001</v>
      </c>
      <c r="CI93" s="467">
        <v>-1.6259999999999999</v>
      </c>
      <c r="CJ93" s="287">
        <f t="shared" si="279"/>
        <v>6.1881188118810826E-3</v>
      </c>
      <c r="CK93" s="288">
        <f t="shared" si="280"/>
        <v>-1.000081300060975</v>
      </c>
      <c r="CL93" s="467">
        <v>-1.25</v>
      </c>
      <c r="CM93" s="287">
        <f t="shared" si="282"/>
        <v>-0.23124231242312421</v>
      </c>
      <c r="CN93" s="288">
        <f t="shared" si="283"/>
        <v>0</v>
      </c>
      <c r="CO93" s="521">
        <v>-1782.133</v>
      </c>
      <c r="CP93" s="287">
        <f>IFERROR(CO93/CL93-1,0)</f>
        <v>1424.7064</v>
      </c>
      <c r="CQ93" s="287">
        <f>IFERROR(CO93/CC93-1,)</f>
        <v>0</v>
      </c>
      <c r="CR93" s="716">
        <v>-1782.134</v>
      </c>
      <c r="CS93" s="287">
        <f t="shared" si="285"/>
        <v>5.6112534818630877E-7</v>
      </c>
      <c r="CT93" s="288">
        <f t="shared" si="286"/>
        <v>1101.8056930693069</v>
      </c>
      <c r="CU93" s="716">
        <v>0</v>
      </c>
      <c r="CV93" s="287">
        <f t="shared" si="288"/>
        <v>-1</v>
      </c>
      <c r="CW93" s="288">
        <f t="shared" si="289"/>
        <v>-1</v>
      </c>
      <c r="CX93" s="716">
        <v>0</v>
      </c>
      <c r="CY93" s="287">
        <f t="shared" si="291"/>
        <v>0</v>
      </c>
      <c r="CZ93" s="513">
        <f t="shared" si="292"/>
        <v>-1</v>
      </c>
    </row>
    <row r="94" spans="1:107" ht="16.2" customHeight="1">
      <c r="C94" s="512" t="s">
        <v>457</v>
      </c>
      <c r="D94" s="639" t="s">
        <v>491</v>
      </c>
      <c r="E94" s="275"/>
      <c r="F94" s="275"/>
      <c r="G94" s="275"/>
      <c r="H94" s="134"/>
      <c r="I94" s="134"/>
      <c r="K94" s="134"/>
      <c r="L94" s="134"/>
      <c r="N94" s="134"/>
      <c r="O94" s="134"/>
      <c r="Q94" s="134"/>
      <c r="R94" s="134"/>
      <c r="T94" s="134"/>
      <c r="U94" s="134"/>
      <c r="W94" s="134"/>
      <c r="X94" s="134"/>
      <c r="Z94" s="134"/>
      <c r="AA94" s="134"/>
      <c r="AC94" s="134"/>
      <c r="AD94" s="275"/>
      <c r="AG94" s="275"/>
      <c r="AJ94" s="275"/>
      <c r="AM94" s="275"/>
      <c r="AP94" s="521"/>
      <c r="AQ94" s="287"/>
      <c r="AR94" s="513"/>
      <c r="AS94" s="521"/>
      <c r="AT94" s="287"/>
      <c r="AU94" s="288"/>
      <c r="AV94" s="467"/>
      <c r="AW94" s="287"/>
      <c r="AX94" s="288"/>
      <c r="AY94" s="467"/>
      <c r="AZ94" s="287"/>
      <c r="BA94" s="288"/>
      <c r="BB94" s="467"/>
      <c r="BC94" s="287"/>
      <c r="BD94" s="513"/>
      <c r="BE94" s="521"/>
      <c r="BF94" s="287"/>
      <c r="BG94" s="288"/>
      <c r="BH94" s="467"/>
      <c r="BI94" s="287"/>
      <c r="BJ94" s="288"/>
      <c r="BK94" s="467"/>
      <c r="BL94" s="287"/>
      <c r="BM94" s="288"/>
      <c r="BN94" s="467"/>
      <c r="BO94" s="287"/>
      <c r="BP94" s="513"/>
      <c r="BQ94" s="521"/>
      <c r="BR94" s="287"/>
      <c r="BS94" s="288"/>
      <c r="BT94" s="467"/>
      <c r="BU94" s="287"/>
      <c r="BV94" s="288"/>
      <c r="BW94" s="467"/>
      <c r="BX94" s="287"/>
      <c r="BY94" s="288"/>
      <c r="BZ94" s="467">
        <v>0</v>
      </c>
      <c r="CA94" s="287">
        <f>IFERROR(BZ94/BW94-1,0)</f>
        <v>0</v>
      </c>
      <c r="CB94" s="513">
        <f>IFERROR(BZ94/BN94-1,)</f>
        <v>0</v>
      </c>
      <c r="CC94" s="521">
        <v>0</v>
      </c>
      <c r="CD94" s="287">
        <f>IFERROR(CC94/BZ94-1,0)</f>
        <v>0</v>
      </c>
      <c r="CE94" s="288">
        <f>IFERROR(CC94/BQ94-1,)</f>
        <v>0</v>
      </c>
      <c r="CF94" s="467">
        <v>0</v>
      </c>
      <c r="CG94" s="287">
        <f t="shared" ref="CG94" si="293">IFERROR(CF94/CC94-1,0)</f>
        <v>0</v>
      </c>
      <c r="CH94" s="288">
        <f t="shared" ref="CH94" si="294">IFERROR(CF94/BT94-1,)</f>
        <v>0</v>
      </c>
      <c r="CI94" s="467">
        <v>0</v>
      </c>
      <c r="CJ94" s="287">
        <f t="shared" ref="CJ94" si="295">IFERROR(CI94/CF94-1,0)</f>
        <v>0</v>
      </c>
      <c r="CK94" s="288">
        <f t="shared" ref="CK94" si="296">IFERROR(CI94/BW94-1,)</f>
        <v>0</v>
      </c>
      <c r="CL94" s="467">
        <v>220.393</v>
      </c>
      <c r="CM94" s="287">
        <f t="shared" ref="CM94" si="297">IFERROR(CL94/CI94-1,0)</f>
        <v>0</v>
      </c>
      <c r="CN94" s="288">
        <f t="shared" ref="CN94" si="298">IFERROR(CL94/BZ94-1,)</f>
        <v>0</v>
      </c>
      <c r="CO94" s="521">
        <v>262.22300000000001</v>
      </c>
      <c r="CP94" s="287">
        <f>IFERROR(CO94/CL94-1,0)</f>
        <v>0.18979731661168908</v>
      </c>
      <c r="CQ94" s="287">
        <f>IFERROR(CO94/CC94-1,)</f>
        <v>0</v>
      </c>
      <c r="CR94" s="716">
        <v>-931.72500000000002</v>
      </c>
      <c r="CS94" s="287">
        <f t="shared" si="285"/>
        <v>-4.5531780202346859</v>
      </c>
      <c r="CT94" s="288">
        <f t="shared" si="286"/>
        <v>0</v>
      </c>
      <c r="CU94" s="716">
        <v>0</v>
      </c>
      <c r="CV94" s="287">
        <f t="shared" si="288"/>
        <v>-1</v>
      </c>
      <c r="CW94" s="288">
        <f t="shared" si="289"/>
        <v>0</v>
      </c>
      <c r="CX94" s="716">
        <v>0</v>
      </c>
      <c r="CY94" s="287">
        <f t="shared" si="291"/>
        <v>0</v>
      </c>
      <c r="CZ94" s="513">
        <f t="shared" si="292"/>
        <v>-1</v>
      </c>
    </row>
    <row r="95" spans="1:107" s="29" customFormat="1" ht="16.2" customHeight="1">
      <c r="A95" s="141"/>
      <c r="B95" s="30"/>
      <c r="C95" s="516"/>
      <c r="D95" s="640"/>
      <c r="E95" s="275"/>
      <c r="F95" s="275"/>
      <c r="G95" s="275"/>
      <c r="H95" s="134"/>
      <c r="I95" s="134"/>
      <c r="J95" s="275"/>
      <c r="K95" s="134"/>
      <c r="L95" s="134"/>
      <c r="M95" s="275"/>
      <c r="N95" s="134"/>
      <c r="O95" s="134"/>
      <c r="P95" s="275"/>
      <c r="Q95" s="134"/>
      <c r="R95" s="134"/>
      <c r="S95" s="275"/>
      <c r="T95" s="134"/>
      <c r="U95" s="134"/>
      <c r="V95" s="275"/>
      <c r="W95" s="134"/>
      <c r="X95" s="134"/>
      <c r="Y95" s="275"/>
      <c r="Z95" s="134"/>
      <c r="AA95" s="134"/>
      <c r="AB95" s="275"/>
      <c r="AC95" s="134"/>
      <c r="AD95" s="275"/>
      <c r="AE95" s="275"/>
      <c r="AF95" s="275"/>
      <c r="AG95" s="275"/>
      <c r="AH95" s="275"/>
      <c r="AI95" s="275"/>
      <c r="AJ95" s="275"/>
      <c r="AK95" s="275"/>
      <c r="AL95" s="275"/>
      <c r="AM95" s="275"/>
      <c r="AN95" s="275"/>
      <c r="AO95" s="275"/>
      <c r="AP95" s="522"/>
      <c r="AQ95" s="523"/>
      <c r="AR95" s="524"/>
      <c r="AS95" s="522"/>
      <c r="AT95" s="523"/>
      <c r="AU95" s="527"/>
      <c r="AV95" s="528"/>
      <c r="AW95" s="523"/>
      <c r="AX95" s="527"/>
      <c r="AY95" s="528"/>
      <c r="AZ95" s="523"/>
      <c r="BA95" s="527"/>
      <c r="BB95" s="528"/>
      <c r="BC95" s="523"/>
      <c r="BD95" s="524"/>
      <c r="BE95" s="522"/>
      <c r="BF95" s="523"/>
      <c r="BG95" s="527"/>
      <c r="BH95" s="528"/>
      <c r="BI95" s="523"/>
      <c r="BJ95" s="527"/>
      <c r="BK95" s="528"/>
      <c r="BL95" s="523"/>
      <c r="BM95" s="527"/>
      <c r="BN95" s="522">
        <f>SUM(BN91:BN93)</f>
        <v>-18253.886000000002</v>
      </c>
      <c r="BO95" s="523"/>
      <c r="BP95" s="524"/>
      <c r="BQ95" s="522">
        <f>SUM(BQ91:BQ93)</f>
        <v>2166.4939999999988</v>
      </c>
      <c r="BR95" s="523"/>
      <c r="BS95" s="527"/>
      <c r="BT95" s="528">
        <f>SUM(BT91:BT93)</f>
        <v>3260.1290000000008</v>
      </c>
      <c r="BU95" s="523"/>
      <c r="BV95" s="527"/>
      <c r="BW95" s="528">
        <f>SUM(BW91:BW93)</f>
        <v>3830.9979999999996</v>
      </c>
      <c r="BX95" s="523"/>
      <c r="BY95" s="527"/>
      <c r="BZ95" s="528">
        <f>SUM(BZ91:BZ93)</f>
        <v>4814.6639999999998</v>
      </c>
      <c r="CA95" s="577">
        <f>IFERROR(BZ95/BW95-1,0)</f>
        <v>0.25676494741057043</v>
      </c>
      <c r="CB95" s="578">
        <f>IFERROR(BZ95/BN95-1,)</f>
        <v>-1.2637610424432364</v>
      </c>
      <c r="CC95" s="522">
        <f>SUM(CC91:CC93)</f>
        <v>6027.6440000000002</v>
      </c>
      <c r="CD95" s="523">
        <f>IFERROR(CC95/BZ95-1,0)</f>
        <v>0.25193450674854989</v>
      </c>
      <c r="CE95" s="527">
        <f>IFERROR(CC95/BQ95-1,)</f>
        <v>1.7822112592972812</v>
      </c>
      <c r="CF95" s="528">
        <f>SUM(CF91:CF93)</f>
        <v>7584.9690000000001</v>
      </c>
      <c r="CG95" s="523">
        <f t="shared" si="223"/>
        <v>0.2583637985255931</v>
      </c>
      <c r="CH95" s="527">
        <f t="shared" si="224"/>
        <v>1.326585543087405</v>
      </c>
      <c r="CI95" s="528">
        <f>SUM(CI91:CI93)</f>
        <v>-1920.6330000000005</v>
      </c>
      <c r="CJ95" s="523">
        <f t="shared" si="279"/>
        <v>-1.2532156690422862</v>
      </c>
      <c r="CK95" s="527">
        <f t="shared" si="280"/>
        <v>-1.5013401207727073</v>
      </c>
      <c r="CL95" s="528">
        <f>SUM(CL91:CL94)</f>
        <v>-11306.7196133</v>
      </c>
      <c r="CM95" s="523">
        <f t="shared" si="282"/>
        <v>4.8869756029913036</v>
      </c>
      <c r="CN95" s="527">
        <f t="shared" si="283"/>
        <v>-3.348392247787177</v>
      </c>
      <c r="CO95" s="522">
        <f>SUM(CO91:CO94)</f>
        <v>2847.4260000000004</v>
      </c>
      <c r="CP95" s="523">
        <f>IFERROR(CO95/CL95-1,0)</f>
        <v>-1.2518348466561953</v>
      </c>
      <c r="CQ95" s="523">
        <f>IFERROR(CO95/CC95-1,)</f>
        <v>-0.52760547902298138</v>
      </c>
      <c r="CR95" s="717">
        <f>SUM(CR91:CR94)</f>
        <v>1638.4230000000002</v>
      </c>
      <c r="CS95" s="523">
        <f t="shared" si="285"/>
        <v>-0.42459505532365016</v>
      </c>
      <c r="CT95" s="527">
        <f t="shared" si="286"/>
        <v>-0.7839908113006131</v>
      </c>
      <c r="CU95" s="717">
        <f>SUM(CU91:CU94)</f>
        <v>0</v>
      </c>
      <c r="CV95" s="523">
        <f t="shared" si="288"/>
        <v>-1</v>
      </c>
      <c r="CW95" s="527">
        <f t="shared" si="289"/>
        <v>-1</v>
      </c>
      <c r="CX95" s="717">
        <f>SUM(CX91:CX94)</f>
        <v>0</v>
      </c>
      <c r="CY95" s="523">
        <f t="shared" si="291"/>
        <v>0</v>
      </c>
      <c r="CZ95" s="524">
        <f t="shared" si="292"/>
        <v>-1</v>
      </c>
    </row>
    <row r="96" spans="1:107" ht="16.2" customHeight="1">
      <c r="BN96" s="274" t="b">
        <f>ROUND(BN95,0)=ROUND(BN90,)</f>
        <v>1</v>
      </c>
      <c r="BQ96" s="274" t="b">
        <f>ROUND(BQ95,0)=ROUND(BQ90,)</f>
        <v>1</v>
      </c>
      <c r="BT96" s="274" t="b">
        <f>ROUND(BT95,0)=ROUND(BT90,)</f>
        <v>1</v>
      </c>
      <c r="BW96" s="274" t="b">
        <f>ROUND(BW95,0)=ROUND(BW90,)</f>
        <v>1</v>
      </c>
      <c r="BZ96" s="274" t="b">
        <f>ROUND(BZ95,0)=ROUND(BZ90,)</f>
        <v>1</v>
      </c>
      <c r="CC96" s="274" t="b">
        <f>ROUND(CC95,0)=ROUND(CC90,)</f>
        <v>1</v>
      </c>
      <c r="CF96" s="274" t="b">
        <f>ROUND(CF95,0)=ROUND(CF90,)</f>
        <v>1</v>
      </c>
      <c r="CI96" s="274" t="b">
        <f>ROUND(CI95,0)=ROUND(CI90,)</f>
        <v>1</v>
      </c>
      <c r="CL96" s="274" t="b">
        <f>ROUND(CL95,0)=ROUND(CL90,)</f>
        <v>1</v>
      </c>
      <c r="CO96" s="274" t="b">
        <f>ROUND(CO95,0)=ROUND(CO90,)</f>
        <v>1</v>
      </c>
      <c r="CR96" s="274" t="b">
        <f>ROUND(CR95,0)=ROUND(CR90,)</f>
        <v>1</v>
      </c>
      <c r="CU96" s="274" t="b">
        <f>ROUND(CU95,0)=ROUND(CU90,)</f>
        <v>1</v>
      </c>
      <c r="CX96" s="274" t="b">
        <f>ROUND(CX95,0)=ROUND(CX90,)</f>
        <v>1</v>
      </c>
    </row>
    <row r="98" spans="1:110" s="1" customFormat="1" ht="16.2" customHeight="1">
      <c r="A98" s="142"/>
      <c r="B98" s="615"/>
      <c r="C98" s="643" t="s">
        <v>434</v>
      </c>
      <c r="D98" s="641" t="s">
        <v>435</v>
      </c>
      <c r="E98" s="616"/>
      <c r="F98" s="616"/>
      <c r="G98" s="616"/>
      <c r="H98" s="617"/>
      <c r="I98" s="617"/>
      <c r="J98" s="616"/>
      <c r="K98" s="617"/>
      <c r="L98" s="617"/>
      <c r="M98" s="616"/>
      <c r="N98" s="617"/>
      <c r="O98" s="617"/>
      <c r="P98" s="616"/>
      <c r="Q98" s="617"/>
      <c r="R98" s="617"/>
      <c r="S98" s="616"/>
      <c r="T98" s="617"/>
      <c r="U98" s="617"/>
      <c r="V98" s="616"/>
      <c r="W98" s="617"/>
      <c r="X98" s="617"/>
      <c r="Y98" s="616"/>
      <c r="Z98" s="617"/>
      <c r="AA98" s="617"/>
      <c r="AB98" s="616"/>
      <c r="AC98" s="617"/>
      <c r="AD98" s="616"/>
      <c r="AE98" s="616"/>
      <c r="AF98" s="616"/>
      <c r="AG98" s="616"/>
      <c r="AH98" s="616"/>
      <c r="AI98" s="616"/>
      <c r="AJ98" s="616"/>
      <c r="AK98" s="616"/>
      <c r="AL98" s="616"/>
      <c r="AM98" s="616"/>
      <c r="AN98" s="616"/>
      <c r="AO98" s="616"/>
      <c r="AP98" s="618"/>
      <c r="AQ98" s="619"/>
      <c r="AR98" s="620"/>
      <c r="AS98" s="618"/>
      <c r="AT98" s="619"/>
      <c r="AU98" s="621"/>
      <c r="AV98" s="622"/>
      <c r="AW98" s="619"/>
      <c r="AX98" s="621"/>
      <c r="AY98" s="622"/>
      <c r="AZ98" s="619"/>
      <c r="BA98" s="621"/>
      <c r="BB98" s="622"/>
      <c r="BC98" s="619"/>
      <c r="BD98" s="620"/>
      <c r="BE98" s="618"/>
      <c r="BF98" s="619"/>
      <c r="BG98" s="621"/>
      <c r="BH98" s="622"/>
      <c r="BI98" s="619"/>
      <c r="BJ98" s="621"/>
      <c r="BK98" s="622"/>
      <c r="BL98" s="619"/>
      <c r="BM98" s="621"/>
      <c r="BN98" s="622">
        <f>SUM(BN99:BN102)</f>
        <v>17710.839999999997</v>
      </c>
      <c r="BO98" s="619"/>
      <c r="BP98" s="620"/>
      <c r="BQ98" s="618">
        <f>SUM(BQ99:BQ102)</f>
        <v>24018.258999999998</v>
      </c>
      <c r="BR98" s="619">
        <f>BR56</f>
        <v>0</v>
      </c>
      <c r="BS98" s="621"/>
      <c r="BT98" s="622">
        <f>SUM(BT99:BT102)</f>
        <v>31849.190000000002</v>
      </c>
      <c r="BU98" s="619">
        <f>BU56</f>
        <v>0</v>
      </c>
      <c r="BV98" s="621"/>
      <c r="BW98" s="622">
        <f>SUM(BW99:BW102)</f>
        <v>32839.93</v>
      </c>
      <c r="BX98" s="619">
        <f>BX56</f>
        <v>0</v>
      </c>
      <c r="BY98" s="621"/>
      <c r="BZ98" s="622">
        <f>SUM(BZ99:BZ102)</f>
        <v>38651.089999999989</v>
      </c>
      <c r="CA98" s="619">
        <f>IFERROR(BZ98/BW98-1,0)</f>
        <v>0.17695409216767488</v>
      </c>
      <c r="CB98" s="620">
        <f>IFERROR(BZ98/BN98-1,)</f>
        <v>1.1823408714662884</v>
      </c>
      <c r="CC98" s="618">
        <f>SUM(CC99:CC102)</f>
        <v>44494.411</v>
      </c>
      <c r="CD98" s="619">
        <f>IFERROR(CC98/BZ98-1,0)</f>
        <v>0.15118127328362574</v>
      </c>
      <c r="CE98" s="621">
        <f>IFERROR(CC98/BQ98-1,)</f>
        <v>0.85252440653587769</v>
      </c>
      <c r="CF98" s="622">
        <f>SUM(CF99:CF102)</f>
        <v>52631.108</v>
      </c>
      <c r="CG98" s="619">
        <f t="shared" si="223"/>
        <v>0.18287009125707954</v>
      </c>
      <c r="CH98" s="621">
        <f t="shared" si="224"/>
        <v>0.65251009523319103</v>
      </c>
      <c r="CI98" s="622">
        <f>SUM(CI99:CI102)</f>
        <v>62377.578000000009</v>
      </c>
      <c r="CJ98" s="619">
        <f t="shared" ref="CJ98:CJ102" si="299">IFERROR(CI98/CF98-1,0)</f>
        <v>0.18518458703168483</v>
      </c>
      <c r="CK98" s="621">
        <f t="shared" ref="CK98:CK102" si="300">IFERROR(CI98/BW98-1,)</f>
        <v>0.89944308651084248</v>
      </c>
      <c r="CL98" s="622">
        <f>SUM(CL99:CL102)</f>
        <v>81472.063999999998</v>
      </c>
      <c r="CM98" s="619">
        <f t="shared" ref="CM98:CM102" si="301">IFERROR(CL98/CI98-1,0)</f>
        <v>0.30611137226264207</v>
      </c>
      <c r="CN98" s="621">
        <f t="shared" ref="CN98:CN102" si="302">IFERROR(CL98/BZ98-1,)</f>
        <v>1.1078852886166994</v>
      </c>
      <c r="CO98" s="618">
        <f>SUM(CO99:CO102)</f>
        <v>129028</v>
      </c>
      <c r="CP98" s="619">
        <f>IFERROR(CO98/CL98-1,0)</f>
        <v>0.58370849669403246</v>
      </c>
      <c r="CQ98" s="619">
        <f>IFERROR(CO98/CC98-1,)</f>
        <v>1.899869828594877</v>
      </c>
      <c r="CR98" s="718">
        <f>SUM(CR99:CR102)</f>
        <v>109668.09300000001</v>
      </c>
      <c r="CS98" s="619">
        <f t="shared" ref="CS98:CS102" si="303">IFERROR(CR98/CO98-1,0)</f>
        <v>-0.15004423070961337</v>
      </c>
      <c r="CT98" s="621">
        <f t="shared" ref="CT98:CT102" si="304">IFERROR(CR98/CF98-1,)</f>
        <v>1.0837124120586634</v>
      </c>
      <c r="CU98" s="718">
        <f>SUM(CU99:CU102)</f>
        <v>0</v>
      </c>
      <c r="CV98" s="619">
        <f t="shared" ref="CV98:CV102" si="305">IFERROR(CU98/CR98-1,0)</f>
        <v>-1</v>
      </c>
      <c r="CW98" s="621">
        <f t="shared" ref="CW98:CW102" si="306">IFERROR(CU98/CI98-1,)</f>
        <v>-1</v>
      </c>
      <c r="CX98" s="718">
        <f>SUM(CX99:CX102)</f>
        <v>0</v>
      </c>
      <c r="CY98" s="619">
        <f t="shared" ref="CY98:CY102" si="307">IFERROR(CX98/CU98-1,0)</f>
        <v>0</v>
      </c>
      <c r="CZ98" s="620">
        <f t="shared" ref="CZ98:CZ102" si="308">IFERROR(CX98/CL98-1,)</f>
        <v>-1</v>
      </c>
      <c r="DC98" s="8"/>
      <c r="DD98" s="8"/>
      <c r="DE98" s="8"/>
    </row>
    <row r="99" spans="1:110" ht="16.2" customHeight="1">
      <c r="C99" s="512" t="s">
        <v>448</v>
      </c>
      <c r="D99" s="639" t="s">
        <v>450</v>
      </c>
      <c r="E99" s="275"/>
      <c r="F99" s="275"/>
      <c r="G99" s="275"/>
      <c r="H99" s="134"/>
      <c r="I99" s="134"/>
      <c r="K99" s="134"/>
      <c r="L99" s="134"/>
      <c r="N99" s="134"/>
      <c r="O99" s="134"/>
      <c r="Q99" s="134"/>
      <c r="R99" s="134"/>
      <c r="T99" s="134"/>
      <c r="U99" s="134"/>
      <c r="W99" s="134"/>
      <c r="X99" s="134"/>
      <c r="Z99" s="134"/>
      <c r="AA99" s="134"/>
      <c r="AC99" s="134"/>
      <c r="AD99" s="275"/>
      <c r="AG99" s="275"/>
      <c r="AJ99" s="275"/>
      <c r="AM99" s="275"/>
      <c r="AP99" s="521"/>
      <c r="AQ99" s="287"/>
      <c r="AR99" s="513"/>
      <c r="AS99" s="521"/>
      <c r="AT99" s="287"/>
      <c r="AU99" s="288"/>
      <c r="AV99" s="467"/>
      <c r="AW99" s="287"/>
      <c r="AX99" s="288"/>
      <c r="AY99" s="467"/>
      <c r="AZ99" s="287"/>
      <c r="BA99" s="288"/>
      <c r="BB99" s="467"/>
      <c r="BC99" s="287"/>
      <c r="BD99" s="513"/>
      <c r="BE99" s="521"/>
      <c r="BF99" s="287"/>
      <c r="BG99" s="288"/>
      <c r="BH99" s="467"/>
      <c r="BI99" s="287"/>
      <c r="BJ99" s="288"/>
      <c r="BK99" s="467"/>
      <c r="BL99" s="287"/>
      <c r="BM99" s="288"/>
      <c r="BN99" s="467">
        <v>-641.80999999999995</v>
      </c>
      <c r="BO99" s="287"/>
      <c r="BP99" s="513"/>
      <c r="BQ99" s="521">
        <f>-620.222</f>
        <v>-620.22199999999998</v>
      </c>
      <c r="BR99" s="287">
        <f>BR57</f>
        <v>0</v>
      </c>
      <c r="BS99" s="288"/>
      <c r="BT99" s="467">
        <f>-997.712</f>
        <v>-997.71199999999999</v>
      </c>
      <c r="BU99" s="287">
        <f>BU57</f>
        <v>0</v>
      </c>
      <c r="BV99" s="288"/>
      <c r="BW99" s="467">
        <f>-765.8</f>
        <v>-765.8</v>
      </c>
      <c r="BX99" s="287">
        <f>BX57</f>
        <v>0</v>
      </c>
      <c r="BY99" s="288"/>
      <c r="BZ99" s="467">
        <v>-1852.47</v>
      </c>
      <c r="CA99" s="287">
        <f>IFERROR(BZ99/BW99-1,0)</f>
        <v>1.4189997388352054</v>
      </c>
      <c r="CB99" s="513">
        <f>IFERROR(BZ99/BN99-1,)</f>
        <v>1.8863214970162514</v>
      </c>
      <c r="CC99" s="521">
        <v>-2535.942</v>
      </c>
      <c r="CD99" s="287">
        <f>IFERROR(CC99/BZ99-1,0)</f>
        <v>0.36895172391455722</v>
      </c>
      <c r="CE99" s="288">
        <f>IFERROR(CC99/BQ99-1,)</f>
        <v>3.08876499060014</v>
      </c>
      <c r="CF99" s="467">
        <f>-3812.079</f>
        <v>-3812.0790000000002</v>
      </c>
      <c r="CG99" s="287">
        <f t="shared" si="223"/>
        <v>0.50322010519168026</v>
      </c>
      <c r="CH99" s="288">
        <f t="shared" si="224"/>
        <v>2.8208210385361712</v>
      </c>
      <c r="CI99" s="467">
        <v>-6169.2489999999998</v>
      </c>
      <c r="CJ99" s="287">
        <f t="shared" si="299"/>
        <v>0.6183423795781775</v>
      </c>
      <c r="CK99" s="288">
        <f t="shared" si="300"/>
        <v>7.0559532515016983</v>
      </c>
      <c r="CL99" s="467">
        <v>-1739.1189999999999</v>
      </c>
      <c r="CM99" s="287">
        <f t="shared" si="301"/>
        <v>-0.71809875075556207</v>
      </c>
      <c r="CN99" s="288">
        <f t="shared" si="302"/>
        <v>-6.1189115073388534E-2</v>
      </c>
      <c r="CO99" s="521">
        <v>-39464</v>
      </c>
      <c r="CP99" s="287">
        <f>IFERROR(CO99/CL99-1,0)</f>
        <v>21.69194919956599</v>
      </c>
      <c r="CQ99" s="287">
        <f>IFERROR(CO99/CC99-1,)</f>
        <v>14.561870105862042</v>
      </c>
      <c r="CR99" s="716">
        <v>-62314.228999999999</v>
      </c>
      <c r="CS99" s="287">
        <f t="shared" si="303"/>
        <v>0.57901451956213257</v>
      </c>
      <c r="CT99" s="288">
        <f t="shared" si="304"/>
        <v>15.346520887945921</v>
      </c>
      <c r="CU99" s="716">
        <v>0</v>
      </c>
      <c r="CV99" s="287">
        <f t="shared" si="305"/>
        <v>-1</v>
      </c>
      <c r="CW99" s="288">
        <f t="shared" si="306"/>
        <v>-1</v>
      </c>
      <c r="CX99" s="716">
        <v>0</v>
      </c>
      <c r="CY99" s="287">
        <f t="shared" si="307"/>
        <v>0</v>
      </c>
      <c r="CZ99" s="513">
        <f t="shared" si="308"/>
        <v>-1</v>
      </c>
      <c r="DC99" s="1"/>
      <c r="DD99" s="1"/>
      <c r="DE99" s="1"/>
    </row>
    <row r="100" spans="1:110" ht="16.2" customHeight="1">
      <c r="C100" s="512" t="s">
        <v>420</v>
      </c>
      <c r="D100" s="639" t="s">
        <v>436</v>
      </c>
      <c r="E100" s="275"/>
      <c r="F100" s="275"/>
      <c r="G100" s="275"/>
      <c r="H100" s="134"/>
      <c r="I100" s="134"/>
      <c r="K100" s="134"/>
      <c r="L100" s="134"/>
      <c r="N100" s="134"/>
      <c r="O100" s="134"/>
      <c r="Q100" s="134"/>
      <c r="R100" s="134"/>
      <c r="T100" s="134"/>
      <c r="U100" s="134"/>
      <c r="W100" s="134"/>
      <c r="X100" s="134"/>
      <c r="Z100" s="134"/>
      <c r="AA100" s="134"/>
      <c r="AC100" s="134"/>
      <c r="AD100" s="275"/>
      <c r="AG100" s="275"/>
      <c r="AJ100" s="275"/>
      <c r="AM100" s="275"/>
      <c r="AP100" s="521"/>
      <c r="AQ100" s="287"/>
      <c r="AR100" s="513"/>
      <c r="AS100" s="521"/>
      <c r="AT100" s="287"/>
      <c r="AU100" s="288"/>
      <c r="AV100" s="467"/>
      <c r="AW100" s="287"/>
      <c r="AX100" s="288"/>
      <c r="AY100" s="467"/>
      <c r="AZ100" s="287"/>
      <c r="BA100" s="288"/>
      <c r="BB100" s="467"/>
      <c r="BC100" s="287"/>
      <c r="BD100" s="513"/>
      <c r="BE100" s="521"/>
      <c r="BF100" s="287"/>
      <c r="BG100" s="288"/>
      <c r="BH100" s="467"/>
      <c r="BI100" s="287"/>
      <c r="BJ100" s="288"/>
      <c r="BK100" s="467"/>
      <c r="BL100" s="287"/>
      <c r="BM100" s="288"/>
      <c r="BN100" s="467">
        <v>18129.483</v>
      </c>
      <c r="BO100" s="287"/>
      <c r="BP100" s="513"/>
      <c r="BQ100" s="521">
        <v>24590.587</v>
      </c>
      <c r="BR100" s="287">
        <f>BR58</f>
        <v>-4.0135844396418374E-3</v>
      </c>
      <c r="BS100" s="288"/>
      <c r="BT100" s="467">
        <v>32719.516</v>
      </c>
      <c r="BU100" s="287">
        <f>BU58</f>
        <v>-7.7288696011572622E-2</v>
      </c>
      <c r="BV100" s="288"/>
      <c r="BW100" s="467">
        <v>29688.115000000002</v>
      </c>
      <c r="BX100" s="287">
        <f>BX58</f>
        <v>-6.2877939529675242E-2</v>
      </c>
      <c r="BY100" s="288"/>
      <c r="BZ100" s="467">
        <v>38352.642999999996</v>
      </c>
      <c r="CA100" s="287">
        <f>IFERROR(BZ100/BW100-1,0)</f>
        <v>0.29185173932396835</v>
      </c>
      <c r="CB100" s="513">
        <f>IFERROR(BZ100/BN100-1,)</f>
        <v>1.1154846500586917</v>
      </c>
      <c r="CC100" s="521">
        <v>39616.226000000002</v>
      </c>
      <c r="CD100" s="287">
        <f>IFERROR(CC100/BZ100-1,0)</f>
        <v>3.2946438658738808E-2</v>
      </c>
      <c r="CE100" s="288">
        <f>IFERROR(CC100/BQ100-1,)</f>
        <v>0.61103214006237438</v>
      </c>
      <c r="CF100" s="467">
        <v>43797.358999999997</v>
      </c>
      <c r="CG100" s="287">
        <f t="shared" si="223"/>
        <v>0.1055409215405827</v>
      </c>
      <c r="CH100" s="288">
        <f t="shared" si="224"/>
        <v>0.33856989204852539</v>
      </c>
      <c r="CI100" s="467">
        <v>48335.891000000003</v>
      </c>
      <c r="CJ100" s="287">
        <f t="shared" si="299"/>
        <v>0.10362570035330232</v>
      </c>
      <c r="CK100" s="288">
        <f t="shared" si="300"/>
        <v>0.62812260057602187</v>
      </c>
      <c r="CL100" s="467">
        <v>51220.608</v>
      </c>
      <c r="CM100" s="287">
        <f t="shared" si="301"/>
        <v>5.9680641865068607E-2</v>
      </c>
      <c r="CN100" s="288">
        <f t="shared" si="302"/>
        <v>0.33551703333718108</v>
      </c>
      <c r="CO100" s="521">
        <v>124404</v>
      </c>
      <c r="CP100" s="287">
        <f>IFERROR(CO100/CL100-1,0)</f>
        <v>1.4287880378147797</v>
      </c>
      <c r="CQ100" s="287">
        <f>IFERROR(CO100/CC100-1,)</f>
        <v>2.1402284508372906</v>
      </c>
      <c r="CR100" s="716">
        <v>113968.24</v>
      </c>
      <c r="CS100" s="287">
        <f t="shared" si="303"/>
        <v>-8.388604868010674E-2</v>
      </c>
      <c r="CT100" s="288">
        <f t="shared" si="304"/>
        <v>1.6021715144970274</v>
      </c>
      <c r="CU100" s="716">
        <v>0</v>
      </c>
      <c r="CV100" s="287">
        <f t="shared" si="305"/>
        <v>-1</v>
      </c>
      <c r="CW100" s="288">
        <f t="shared" si="306"/>
        <v>-1</v>
      </c>
      <c r="CX100" s="716">
        <v>0</v>
      </c>
      <c r="CY100" s="287">
        <f t="shared" si="307"/>
        <v>0</v>
      </c>
      <c r="CZ100" s="513">
        <f t="shared" si="308"/>
        <v>-1</v>
      </c>
    </row>
    <row r="101" spans="1:110" ht="16.2" customHeight="1">
      <c r="C101" s="512" t="s">
        <v>422</v>
      </c>
      <c r="D101" s="639" t="s">
        <v>437</v>
      </c>
      <c r="E101" s="275"/>
      <c r="F101" s="275"/>
      <c r="G101" s="275"/>
      <c r="H101" s="134"/>
      <c r="I101" s="134"/>
      <c r="K101" s="134"/>
      <c r="L101" s="134"/>
      <c r="N101" s="134"/>
      <c r="O101" s="134"/>
      <c r="Q101" s="134"/>
      <c r="R101" s="134"/>
      <c r="T101" s="134"/>
      <c r="U101" s="134"/>
      <c r="W101" s="134"/>
      <c r="X101" s="134"/>
      <c r="Z101" s="134"/>
      <c r="AA101" s="134"/>
      <c r="AC101" s="134"/>
      <c r="AD101" s="275"/>
      <c r="AG101" s="275"/>
      <c r="AJ101" s="275"/>
      <c r="AM101" s="275"/>
      <c r="AP101" s="521"/>
      <c r="AQ101" s="287"/>
      <c r="AR101" s="513"/>
      <c r="AS101" s="521"/>
      <c r="AT101" s="287"/>
      <c r="AU101" s="288"/>
      <c r="AV101" s="467"/>
      <c r="AW101" s="287"/>
      <c r="AX101" s="288"/>
      <c r="AY101" s="467"/>
      <c r="AZ101" s="287"/>
      <c r="BA101" s="288"/>
      <c r="BB101" s="467"/>
      <c r="BC101" s="287"/>
      <c r="BD101" s="513"/>
      <c r="BE101" s="521"/>
      <c r="BF101" s="287"/>
      <c r="BG101" s="288"/>
      <c r="BH101" s="467"/>
      <c r="BI101" s="287"/>
      <c r="BJ101" s="288"/>
      <c r="BK101" s="467"/>
      <c r="BL101" s="287"/>
      <c r="BM101" s="288"/>
      <c r="BN101" s="467">
        <v>126.277</v>
      </c>
      <c r="BO101" s="287"/>
      <c r="BP101" s="513"/>
      <c r="BQ101" s="521">
        <v>23.783999999999999</v>
      </c>
      <c r="BR101" s="287">
        <f>BR59</f>
        <v>-0.18953309197813328</v>
      </c>
      <c r="BS101" s="288"/>
      <c r="BT101" s="467">
        <v>125.276</v>
      </c>
      <c r="BU101" s="287">
        <f>BU59</f>
        <v>-3.6321881832847014E-3</v>
      </c>
      <c r="BV101" s="288"/>
      <c r="BW101" s="467">
        <v>3912.4110000000001</v>
      </c>
      <c r="BX101" s="287">
        <f>BX59</f>
        <v>-0.11970553561019481</v>
      </c>
      <c r="BY101" s="288"/>
      <c r="BZ101" s="467">
        <v>1466.0730000000001</v>
      </c>
      <c r="CA101" s="287">
        <f>IFERROR(BZ101/BW101-1,0)</f>
        <v>-0.62527633216448886</v>
      </c>
      <c r="CB101" s="513">
        <f>IFERROR(BZ101/BN101-1,)</f>
        <v>10.609976480277485</v>
      </c>
      <c r="CC101" s="521">
        <v>5968.6369999999997</v>
      </c>
      <c r="CD101" s="287">
        <f>IFERROR(CC101/BZ101-1,0)</f>
        <v>3.0711731271225915</v>
      </c>
      <c r="CE101" s="288">
        <f>IFERROR(CC101/BQ101-1,)</f>
        <v>249.9517743020518</v>
      </c>
      <c r="CF101" s="467">
        <v>11581.544</v>
      </c>
      <c r="CG101" s="287">
        <f t="shared" si="223"/>
        <v>0.94040012820347441</v>
      </c>
      <c r="CH101" s="288">
        <f t="shared" si="224"/>
        <v>91.448226316293628</v>
      </c>
      <c r="CI101" s="467">
        <v>18321.991999999998</v>
      </c>
      <c r="CJ101" s="287">
        <f t="shared" si="299"/>
        <v>0.58199908405994916</v>
      </c>
      <c r="CK101" s="288">
        <f t="shared" si="300"/>
        <v>3.6830437804208191</v>
      </c>
      <c r="CL101" s="467">
        <v>1255.3679999999999</v>
      </c>
      <c r="CM101" s="287">
        <f t="shared" si="301"/>
        <v>-0.93148299595371509</v>
      </c>
      <c r="CN101" s="288">
        <f t="shared" si="302"/>
        <v>-0.14372067420926526</v>
      </c>
      <c r="CO101" s="521">
        <v>26331</v>
      </c>
      <c r="CP101" s="287">
        <f>IFERROR(CO101/CL101-1,0)</f>
        <v>19.974726136081213</v>
      </c>
      <c r="CQ101" s="287">
        <f>IFERROR(CO101/CC101-1,)</f>
        <v>3.4115599591665573</v>
      </c>
      <c r="CR101" s="716">
        <v>16134.987999999999</v>
      </c>
      <c r="CS101" s="287">
        <f t="shared" si="303"/>
        <v>-0.38722464015798874</v>
      </c>
      <c r="CT101" s="288">
        <f t="shared" si="304"/>
        <v>0.39316381304599801</v>
      </c>
      <c r="CU101" s="716">
        <v>0</v>
      </c>
      <c r="CV101" s="287">
        <f t="shared" si="305"/>
        <v>-1</v>
      </c>
      <c r="CW101" s="288">
        <f t="shared" si="306"/>
        <v>-1</v>
      </c>
      <c r="CX101" s="716">
        <v>0</v>
      </c>
      <c r="CY101" s="287">
        <f t="shared" si="307"/>
        <v>0</v>
      </c>
      <c r="CZ101" s="513">
        <f t="shared" si="308"/>
        <v>-1</v>
      </c>
    </row>
    <row r="102" spans="1:110" ht="16.2" customHeight="1">
      <c r="C102" s="574" t="s">
        <v>421</v>
      </c>
      <c r="D102" s="642" t="s">
        <v>438</v>
      </c>
      <c r="E102" s="612"/>
      <c r="F102" s="612"/>
      <c r="G102" s="612"/>
      <c r="H102" s="613"/>
      <c r="I102" s="613"/>
      <c r="J102" s="612"/>
      <c r="K102" s="613"/>
      <c r="L102" s="613"/>
      <c r="M102" s="612"/>
      <c r="N102" s="613"/>
      <c r="O102" s="613"/>
      <c r="P102" s="612"/>
      <c r="Q102" s="613"/>
      <c r="R102" s="613"/>
      <c r="S102" s="612"/>
      <c r="T102" s="613"/>
      <c r="U102" s="613"/>
      <c r="V102" s="612"/>
      <c r="W102" s="613"/>
      <c r="X102" s="613"/>
      <c r="Y102" s="612"/>
      <c r="Z102" s="613"/>
      <c r="AA102" s="613"/>
      <c r="AB102" s="612"/>
      <c r="AC102" s="613"/>
      <c r="AD102" s="612"/>
      <c r="AE102" s="612"/>
      <c r="AF102" s="612"/>
      <c r="AG102" s="612"/>
      <c r="AH102" s="612"/>
      <c r="AI102" s="612"/>
      <c r="AJ102" s="612"/>
      <c r="AK102" s="612"/>
      <c r="AL102" s="612"/>
      <c r="AM102" s="612"/>
      <c r="AN102" s="612"/>
      <c r="AO102" s="612"/>
      <c r="AP102" s="573"/>
      <c r="AQ102" s="577"/>
      <c r="AR102" s="578"/>
      <c r="AS102" s="573"/>
      <c r="AT102" s="577"/>
      <c r="AU102" s="614"/>
      <c r="AV102" s="610"/>
      <c r="AW102" s="577"/>
      <c r="AX102" s="614"/>
      <c r="AY102" s="610"/>
      <c r="AZ102" s="577"/>
      <c r="BA102" s="614"/>
      <c r="BB102" s="610"/>
      <c r="BC102" s="577"/>
      <c r="BD102" s="578"/>
      <c r="BE102" s="573"/>
      <c r="BF102" s="577"/>
      <c r="BG102" s="614"/>
      <c r="BH102" s="610"/>
      <c r="BI102" s="577"/>
      <c r="BJ102" s="614"/>
      <c r="BK102" s="610"/>
      <c r="BL102" s="577"/>
      <c r="BM102" s="614"/>
      <c r="BN102" s="610">
        <v>96.89</v>
      </c>
      <c r="BO102" s="577"/>
      <c r="BP102" s="578"/>
      <c r="BQ102" s="573">
        <v>24.11</v>
      </c>
      <c r="BR102" s="577">
        <f>BR60</f>
        <v>7.2166305222820304E-2</v>
      </c>
      <c r="BS102" s="614"/>
      <c r="BT102" s="610">
        <v>2.11</v>
      </c>
      <c r="BU102" s="577">
        <f>BU60</f>
        <v>-0.31142896305060752</v>
      </c>
      <c r="BV102" s="614"/>
      <c r="BW102" s="610">
        <v>5.2039999999999997</v>
      </c>
      <c r="BX102" s="577">
        <f>BX60</f>
        <v>-3.6575518408238805E-2</v>
      </c>
      <c r="BY102" s="614"/>
      <c r="BZ102" s="610">
        <v>684.84400000000005</v>
      </c>
      <c r="CA102" s="577">
        <f>IFERROR(BZ102/BW102-1,0)</f>
        <v>130.59953881629517</v>
      </c>
      <c r="CB102" s="578">
        <f>IFERROR(BZ102/BN102-1,)</f>
        <v>6.0682629786355662</v>
      </c>
      <c r="CC102" s="573">
        <v>1445.49</v>
      </c>
      <c r="CD102" s="577">
        <f>IFERROR(CC102/BZ102-1,0)</f>
        <v>1.1106850611234091</v>
      </c>
      <c r="CE102" s="614">
        <f>IFERROR(CC102/BQ102-1,)</f>
        <v>58.953961012028209</v>
      </c>
      <c r="CF102" s="610">
        <v>1064.2840000000001</v>
      </c>
      <c r="CG102" s="577">
        <f t="shared" si="223"/>
        <v>-0.26372095275650465</v>
      </c>
      <c r="CH102" s="614">
        <f t="shared" si="224"/>
        <v>503.40000000000009</v>
      </c>
      <c r="CI102" s="610">
        <v>1888.944</v>
      </c>
      <c r="CJ102" s="577">
        <f t="shared" si="299"/>
        <v>0.77484957022749557</v>
      </c>
      <c r="CK102" s="614">
        <f t="shared" si="300"/>
        <v>361.97924673328208</v>
      </c>
      <c r="CL102" s="659">
        <v>30735.206999999999</v>
      </c>
      <c r="CM102" s="577">
        <f t="shared" si="301"/>
        <v>15.27110544304119</v>
      </c>
      <c r="CN102" s="614">
        <f t="shared" si="302"/>
        <v>43.879135978412599</v>
      </c>
      <c r="CO102" s="573">
        <v>17757</v>
      </c>
      <c r="CP102" s="577">
        <f>IFERROR(CO102/CL102-1,0)</f>
        <v>-0.42225864950250702</v>
      </c>
      <c r="CQ102" s="577">
        <f>IFERROR(CO102/CC102-1,)</f>
        <v>11.284415665276134</v>
      </c>
      <c r="CR102" s="659">
        <v>41879.093999999997</v>
      </c>
      <c r="CS102" s="577">
        <f t="shared" si="303"/>
        <v>1.3584554823449904</v>
      </c>
      <c r="CT102" s="614">
        <f t="shared" si="304"/>
        <v>38.349547677123766</v>
      </c>
      <c r="CU102" s="659">
        <v>0</v>
      </c>
      <c r="CV102" s="577">
        <f t="shared" si="305"/>
        <v>-1</v>
      </c>
      <c r="CW102" s="614">
        <f t="shared" si="306"/>
        <v>-1</v>
      </c>
      <c r="CX102" s="659">
        <v>0</v>
      </c>
      <c r="CY102" s="577">
        <f t="shared" si="307"/>
        <v>0</v>
      </c>
      <c r="CZ102" s="578">
        <f t="shared" si="308"/>
        <v>-1</v>
      </c>
    </row>
    <row r="105" spans="1:110" s="1" customFormat="1" ht="16.2" customHeight="1">
      <c r="A105" s="142"/>
      <c r="B105" s="615"/>
      <c r="C105" s="581" t="s">
        <v>127</v>
      </c>
      <c r="D105" s="641" t="s">
        <v>214</v>
      </c>
      <c r="E105" s="616"/>
      <c r="F105" s="616"/>
      <c r="G105" s="616"/>
      <c r="H105" s="617"/>
      <c r="I105" s="617"/>
      <c r="J105" s="616"/>
      <c r="K105" s="617"/>
      <c r="L105" s="617"/>
      <c r="M105" s="616"/>
      <c r="N105" s="617"/>
      <c r="O105" s="617"/>
      <c r="P105" s="616"/>
      <c r="Q105" s="617"/>
      <c r="R105" s="617"/>
      <c r="S105" s="616"/>
      <c r="T105" s="617"/>
      <c r="U105" s="617"/>
      <c r="V105" s="616"/>
      <c r="W105" s="617"/>
      <c r="X105" s="617"/>
      <c r="Y105" s="616"/>
      <c r="Z105" s="617"/>
      <c r="AA105" s="617"/>
      <c r="AB105" s="616"/>
      <c r="AC105" s="617"/>
      <c r="AD105" s="616"/>
      <c r="AE105" s="616"/>
      <c r="AF105" s="616"/>
      <c r="AG105" s="616"/>
      <c r="AH105" s="616"/>
      <c r="AI105" s="616"/>
      <c r="AJ105" s="616"/>
      <c r="AK105" s="616"/>
      <c r="AL105" s="616"/>
      <c r="AM105" s="616"/>
      <c r="AN105" s="616"/>
      <c r="AO105" s="616"/>
      <c r="AP105" s="618"/>
      <c r="AQ105" s="619"/>
      <c r="AR105" s="620"/>
      <c r="AS105" s="618"/>
      <c r="AT105" s="619"/>
      <c r="AU105" s="621"/>
      <c r="AV105" s="622"/>
      <c r="AW105" s="619"/>
      <c r="AX105" s="621"/>
      <c r="AY105" s="622"/>
      <c r="AZ105" s="619"/>
      <c r="BA105" s="621"/>
      <c r="BB105" s="622"/>
      <c r="BC105" s="619"/>
      <c r="BD105" s="620"/>
      <c r="BE105" s="618"/>
      <c r="BF105" s="619"/>
      <c r="BG105" s="621"/>
      <c r="BH105" s="622"/>
      <c r="BI105" s="619"/>
      <c r="BJ105" s="621"/>
      <c r="BK105" s="622"/>
      <c r="BL105" s="619"/>
      <c r="BM105" s="621"/>
      <c r="BN105" s="622">
        <f>BN21</f>
        <v>2822.2968580000002</v>
      </c>
      <c r="BO105" s="619"/>
      <c r="BP105" s="620"/>
      <c r="BQ105" s="618">
        <f>BQ21</f>
        <v>4575.2375490000004</v>
      </c>
      <c r="BR105" s="619">
        <f>BR62</f>
        <v>0</v>
      </c>
      <c r="BS105" s="621"/>
      <c r="BT105" s="622">
        <f>BT21</f>
        <v>6514.2836789999992</v>
      </c>
      <c r="BU105" s="619">
        <f>BU62</f>
        <v>-6.8911769367964282E-2</v>
      </c>
      <c r="BV105" s="621"/>
      <c r="BW105" s="622">
        <f>BW21</f>
        <v>7605.3814109999994</v>
      </c>
      <c r="BX105" s="619">
        <f>BX62</f>
        <v>-1.2390326764433524E-2</v>
      </c>
      <c r="BY105" s="621"/>
      <c r="BZ105" s="622">
        <f>BZ21</f>
        <v>140947.98448300001</v>
      </c>
      <c r="CA105" s="619">
        <f>IFERROR(BZ105/BW105-1,0)</f>
        <v>17.532664815355705</v>
      </c>
      <c r="CB105" s="620">
        <f>IFERROR(BZ105/BN105-1,)</f>
        <v>48.940878502370495</v>
      </c>
      <c r="CC105" s="618">
        <f>CC21</f>
        <v>140159</v>
      </c>
      <c r="CD105" s="619">
        <f>IFERROR(CC105/BZ105-1,0)</f>
        <v>-5.5976996471004403E-3</v>
      </c>
      <c r="CE105" s="621">
        <f>IFERROR(CC105/BQ105-1,)</f>
        <v>29.634256363504939</v>
      </c>
      <c r="CF105" s="622">
        <f>CF21</f>
        <v>140585.66974000001</v>
      </c>
      <c r="CG105" s="619">
        <f t="shared" si="223"/>
        <v>3.0441836771095687E-3</v>
      </c>
      <c r="CH105" s="621">
        <f t="shared" si="224"/>
        <v>20.58114025540582</v>
      </c>
      <c r="CI105" s="622">
        <f>CI21</f>
        <v>140067.48462900001</v>
      </c>
      <c r="CJ105" s="619">
        <f t="shared" ref="CJ105:CJ109" si="309">IFERROR(CI105/CF105-1,0)</f>
        <v>-3.685902780548922E-3</v>
      </c>
      <c r="CK105" s="621">
        <f t="shared" ref="CK105:CK109" si="310">IFERROR(CI105/BW105-1,)</f>
        <v>17.416891548189053</v>
      </c>
      <c r="CL105" s="622">
        <f>CL21</f>
        <v>139635.1</v>
      </c>
      <c r="CM105" s="619">
        <f t="shared" ref="CM105:CM109" si="311">IFERROR(CL105/CI105-1,0)</f>
        <v>-3.0869736123646518E-3</v>
      </c>
      <c r="CN105" s="621">
        <f t="shared" ref="CN105:CN109" si="312">IFERROR(CL105/BZ105-1,)</f>
        <v>-9.3146736919700324E-3</v>
      </c>
      <c r="CO105" s="618">
        <f>CO21</f>
        <v>146278</v>
      </c>
      <c r="CP105" s="619">
        <f>IFERROR(CO105/CL105-1,0)</f>
        <v>4.7573282075924928E-2</v>
      </c>
      <c r="CQ105" s="619">
        <f>IFERROR(CO105/CC105-1,)</f>
        <v>4.3657560342182711E-2</v>
      </c>
      <c r="CR105" s="718">
        <f>CR21</f>
        <v>162627.02852699999</v>
      </c>
      <c r="CS105" s="619">
        <f t="shared" ref="CS105:CS109" si="313">IFERROR(CR105/CO105-1,0)</f>
        <v>0.11176683115027553</v>
      </c>
      <c r="CT105" s="621">
        <f t="shared" ref="CT105:CT109" si="314">IFERROR(CR105/CF105-1,)</f>
        <v>0.15678240056588555</v>
      </c>
      <c r="CU105" s="718">
        <f>CU21</f>
        <v>0</v>
      </c>
      <c r="CV105" s="619">
        <f t="shared" ref="CV105:CV109" si="315">IFERROR(CU105/CR105-1,0)</f>
        <v>-1</v>
      </c>
      <c r="CW105" s="621">
        <f t="shared" ref="CW105:CW109" si="316">IFERROR(CU105/CI105-1,)</f>
        <v>-1</v>
      </c>
      <c r="CX105" s="718">
        <f>CX21</f>
        <v>0</v>
      </c>
      <c r="CY105" s="619">
        <f t="shared" ref="CY105:CY109" si="317">IFERROR(CX105/CU105-1,0)</f>
        <v>0</v>
      </c>
      <c r="CZ105" s="620">
        <f t="shared" ref="CZ105:CZ109" si="318">IFERROR(CX105/CL105-1,)</f>
        <v>-1</v>
      </c>
      <c r="DB105" s="8"/>
      <c r="DC105" s="8"/>
      <c r="DD105" s="8"/>
      <c r="DE105" s="8"/>
      <c r="DF105" s="8"/>
    </row>
    <row r="106" spans="1:110" ht="16.2" customHeight="1">
      <c r="C106" s="512" t="s">
        <v>423</v>
      </c>
      <c r="D106" s="639" t="s">
        <v>439</v>
      </c>
      <c r="E106" s="275"/>
      <c r="F106" s="275"/>
      <c r="G106" s="275"/>
      <c r="H106" s="134"/>
      <c r="I106" s="134"/>
      <c r="K106" s="134"/>
      <c r="L106" s="134"/>
      <c r="N106" s="134"/>
      <c r="O106" s="134"/>
      <c r="Q106" s="134"/>
      <c r="R106" s="134"/>
      <c r="T106" s="134"/>
      <c r="U106" s="134"/>
      <c r="W106" s="134"/>
      <c r="X106" s="134"/>
      <c r="Z106" s="134"/>
      <c r="AA106" s="134"/>
      <c r="AC106" s="134"/>
      <c r="AD106" s="275"/>
      <c r="AG106" s="275"/>
      <c r="AJ106" s="275"/>
      <c r="AM106" s="275"/>
      <c r="AP106" s="521"/>
      <c r="AQ106" s="287"/>
      <c r="AR106" s="513"/>
      <c r="AS106" s="521"/>
      <c r="AT106" s="287"/>
      <c r="AU106" s="288"/>
      <c r="AV106" s="467"/>
      <c r="AW106" s="287"/>
      <c r="AX106" s="288"/>
      <c r="AY106" s="467"/>
      <c r="AZ106" s="287"/>
      <c r="BA106" s="288"/>
      <c r="BB106" s="467"/>
      <c r="BC106" s="287"/>
      <c r="BD106" s="513"/>
      <c r="BE106" s="521"/>
      <c r="BF106" s="287"/>
      <c r="BG106" s="288"/>
      <c r="BH106" s="467"/>
      <c r="BI106" s="287"/>
      <c r="BJ106" s="288"/>
      <c r="BK106" s="467"/>
      <c r="BL106" s="287"/>
      <c r="BM106" s="288"/>
      <c r="BN106" s="467">
        <v>1368.367</v>
      </c>
      <c r="BO106" s="287"/>
      <c r="BP106" s="513"/>
      <c r="BQ106" s="521">
        <v>3175.0610000000001</v>
      </c>
      <c r="BR106" s="287">
        <f>BR63</f>
        <v>0</v>
      </c>
      <c r="BS106" s="288"/>
      <c r="BT106" s="467">
        <v>5095.723</v>
      </c>
      <c r="BU106" s="287">
        <f>BU63</f>
        <v>0</v>
      </c>
      <c r="BV106" s="288"/>
      <c r="BW106" s="467">
        <v>6008.3680000000004</v>
      </c>
      <c r="BX106" s="287">
        <f>BX63</f>
        <v>0</v>
      </c>
      <c r="BY106" s="288"/>
      <c r="BZ106" s="467">
        <v>6671.1289999999999</v>
      </c>
      <c r="CA106" s="287">
        <f>IFERROR(BZ106/BW106-1,0)</f>
        <v>0.11030632611051772</v>
      </c>
      <c r="CB106" s="513">
        <f>IFERROR(BZ106/BN106-1,)</f>
        <v>3.8752483800033177</v>
      </c>
      <c r="CC106" s="521">
        <v>7528.5680000000002</v>
      </c>
      <c r="CD106" s="287">
        <f>IFERROR(CC106/BZ106-1,0)</f>
        <v>0.12852981856594292</v>
      </c>
      <c r="CE106" s="288">
        <f>IFERROR(CC106/BQ106-1,)</f>
        <v>1.3711569635984948</v>
      </c>
      <c r="CF106" s="467">
        <v>8272.6090000000004</v>
      </c>
      <c r="CG106" s="287">
        <f t="shared" si="223"/>
        <v>9.8829020339591844E-2</v>
      </c>
      <c r="CH106" s="288">
        <f t="shared" si="224"/>
        <v>0.62344165881858182</v>
      </c>
      <c r="CI106" s="467">
        <v>9610.4159999999993</v>
      </c>
      <c r="CJ106" s="287">
        <f t="shared" si="309"/>
        <v>0.16171524606082532</v>
      </c>
      <c r="CK106" s="288">
        <f t="shared" si="310"/>
        <v>0.59950522338178991</v>
      </c>
      <c r="CL106" s="467">
        <v>10968.412</v>
      </c>
      <c r="CM106" s="287">
        <f t="shared" si="311"/>
        <v>0.14130460117439259</v>
      </c>
      <c r="CN106" s="288">
        <f t="shared" si="312"/>
        <v>0.64416128064679912</v>
      </c>
      <c r="CO106" s="521">
        <v>11052.192999999999</v>
      </c>
      <c r="CP106" s="287">
        <f>IFERROR(CO106/CL106-1,0)</f>
        <v>7.6383892217031235E-3</v>
      </c>
      <c r="CQ106" s="287">
        <f>IFERROR(CO106/CC106-1,)</f>
        <v>0.46803389436078668</v>
      </c>
      <c r="CR106" s="716">
        <v>14804.950999999999</v>
      </c>
      <c r="CS106" s="287">
        <f t="shared" si="313"/>
        <v>0.33954872123568602</v>
      </c>
      <c r="CT106" s="288">
        <f t="shared" si="314"/>
        <v>0.78963504741974377</v>
      </c>
      <c r="CU106" s="716">
        <v>0</v>
      </c>
      <c r="CV106" s="287">
        <f t="shared" si="315"/>
        <v>-1</v>
      </c>
      <c r="CW106" s="288">
        <f t="shared" si="316"/>
        <v>-1</v>
      </c>
      <c r="CX106" s="716">
        <v>0</v>
      </c>
      <c r="CY106" s="287">
        <f t="shared" si="317"/>
        <v>0</v>
      </c>
      <c r="CZ106" s="513">
        <f t="shared" si="318"/>
        <v>-1</v>
      </c>
      <c r="DB106" s="29"/>
      <c r="DC106" s="29"/>
      <c r="DD106" s="29"/>
      <c r="DE106" s="29"/>
      <c r="DF106" s="29"/>
    </row>
    <row r="107" spans="1:110" ht="16.2" customHeight="1">
      <c r="C107" s="512" t="s">
        <v>424</v>
      </c>
      <c r="D107" s="639" t="s">
        <v>440</v>
      </c>
      <c r="E107" s="275"/>
      <c r="F107" s="275"/>
      <c r="G107" s="275"/>
      <c r="H107" s="134"/>
      <c r="I107" s="134"/>
      <c r="K107" s="134"/>
      <c r="L107" s="134"/>
      <c r="N107" s="134"/>
      <c r="O107" s="134"/>
      <c r="Q107" s="134"/>
      <c r="R107" s="134"/>
      <c r="T107" s="134"/>
      <c r="U107" s="134"/>
      <c r="W107" s="134"/>
      <c r="X107" s="134"/>
      <c r="Z107" s="134"/>
      <c r="AA107" s="134"/>
      <c r="AC107" s="134"/>
      <c r="AD107" s="275"/>
      <c r="AG107" s="275"/>
      <c r="AJ107" s="275"/>
      <c r="AM107" s="275"/>
      <c r="AP107" s="521"/>
      <c r="AQ107" s="287"/>
      <c r="AR107" s="513"/>
      <c r="AS107" s="521"/>
      <c r="AT107" s="287"/>
      <c r="AU107" s="288"/>
      <c r="AV107" s="467"/>
      <c r="AW107" s="287"/>
      <c r="AX107" s="288"/>
      <c r="AY107" s="467"/>
      <c r="AZ107" s="287"/>
      <c r="BA107" s="288"/>
      <c r="BB107" s="467"/>
      <c r="BC107" s="287"/>
      <c r="BD107" s="513"/>
      <c r="BE107" s="521"/>
      <c r="BF107" s="287"/>
      <c r="BG107" s="288"/>
      <c r="BH107" s="467"/>
      <c r="BI107" s="287"/>
      <c r="BJ107" s="288"/>
      <c r="BK107" s="467"/>
      <c r="BL107" s="287"/>
      <c r="BM107" s="288"/>
      <c r="BN107" s="467">
        <v>816.37199999999996</v>
      </c>
      <c r="BO107" s="287"/>
      <c r="BP107" s="513"/>
      <c r="BQ107" s="521">
        <v>836.17200000000003</v>
      </c>
      <c r="BR107" s="287">
        <f>BR64</f>
        <v>-4.0135844396418374E-3</v>
      </c>
      <c r="BS107" s="288"/>
      <c r="BT107" s="467">
        <v>836.17200000000003</v>
      </c>
      <c r="BU107" s="287">
        <f>BU64</f>
        <v>-7.7288696011572622E-2</v>
      </c>
      <c r="BV107" s="288"/>
      <c r="BW107" s="467">
        <v>1074.3309999999999</v>
      </c>
      <c r="BX107" s="287">
        <f>BX64</f>
        <v>-6.2877939529675242E-2</v>
      </c>
      <c r="BY107" s="288"/>
      <c r="BZ107" s="467">
        <v>3239.0920000000001</v>
      </c>
      <c r="CA107" s="287">
        <f>IFERROR(BZ107/BW107-1,0)</f>
        <v>2.014985139589196</v>
      </c>
      <c r="CB107" s="513">
        <f>IFERROR(BZ107/BN107-1,)</f>
        <v>2.9676667009647564</v>
      </c>
      <c r="CC107" s="521">
        <v>3424.6419999999998</v>
      </c>
      <c r="CD107" s="287">
        <f>IFERROR(CC107/BZ107-1,0)</f>
        <v>5.728457234311346E-2</v>
      </c>
      <c r="CE107" s="288">
        <f>IFERROR(CC107/BQ107-1,)</f>
        <v>3.0956190831551398</v>
      </c>
      <c r="CF107" s="467">
        <v>4806.598</v>
      </c>
      <c r="CG107" s="287">
        <f t="shared" si="223"/>
        <v>0.40353298242560842</v>
      </c>
      <c r="CH107" s="288">
        <f t="shared" si="224"/>
        <v>4.7483364666599694</v>
      </c>
      <c r="CI107" s="467">
        <v>5073.9870000000001</v>
      </c>
      <c r="CJ107" s="287">
        <f t="shared" si="309"/>
        <v>5.5629574181156771E-2</v>
      </c>
      <c r="CK107" s="288">
        <f t="shared" si="310"/>
        <v>3.7229271053334596</v>
      </c>
      <c r="CL107" s="467">
        <v>4891</v>
      </c>
      <c r="CM107" s="287">
        <f t="shared" si="311"/>
        <v>-3.6063750261874916E-2</v>
      </c>
      <c r="CN107" s="288">
        <f t="shared" si="312"/>
        <v>0.50999107157190959</v>
      </c>
      <c r="CO107" s="521">
        <v>5484</v>
      </c>
      <c r="CP107" s="287">
        <f>IFERROR(CO107/CL107-1,0)</f>
        <v>0.12124309957063995</v>
      </c>
      <c r="CQ107" s="287">
        <f>IFERROR(CO107/CC107-1,)</f>
        <v>0.60133526365675594</v>
      </c>
      <c r="CR107" s="716">
        <v>5618.2889999999998</v>
      </c>
      <c r="CS107" s="287">
        <f t="shared" si="313"/>
        <v>2.4487417943107159E-2</v>
      </c>
      <c r="CT107" s="288">
        <f t="shared" si="314"/>
        <v>0.16887016555160206</v>
      </c>
      <c r="CU107" s="716">
        <v>0</v>
      </c>
      <c r="CV107" s="287">
        <f t="shared" si="315"/>
        <v>-1</v>
      </c>
      <c r="CW107" s="288">
        <f t="shared" si="316"/>
        <v>-1</v>
      </c>
      <c r="CX107" s="716">
        <v>0</v>
      </c>
      <c r="CY107" s="287">
        <f t="shared" si="317"/>
        <v>0</v>
      </c>
      <c r="CZ107" s="513">
        <f t="shared" si="318"/>
        <v>-1</v>
      </c>
    </row>
    <row r="108" spans="1:110" ht="16.2" customHeight="1">
      <c r="C108" s="512" t="s">
        <v>172</v>
      </c>
      <c r="D108" s="639" t="s">
        <v>69</v>
      </c>
      <c r="E108" s="275"/>
      <c r="F108" s="275"/>
      <c r="G108" s="275"/>
      <c r="H108" s="134"/>
      <c r="I108" s="134"/>
      <c r="K108" s="134"/>
      <c r="L108" s="134"/>
      <c r="N108" s="134"/>
      <c r="O108" s="134"/>
      <c r="Q108" s="134"/>
      <c r="R108" s="134"/>
      <c r="T108" s="134"/>
      <c r="U108" s="134"/>
      <c r="W108" s="134"/>
      <c r="X108" s="134"/>
      <c r="Z108" s="134"/>
      <c r="AA108" s="134"/>
      <c r="AC108" s="134"/>
      <c r="AD108" s="275"/>
      <c r="AG108" s="275"/>
      <c r="AJ108" s="275"/>
      <c r="AM108" s="275"/>
      <c r="AP108" s="521"/>
      <c r="AQ108" s="287"/>
      <c r="AR108" s="513"/>
      <c r="AS108" s="521"/>
      <c r="AT108" s="287"/>
      <c r="AU108" s="288"/>
      <c r="AV108" s="467"/>
      <c r="AW108" s="287"/>
      <c r="AX108" s="288"/>
      <c r="AY108" s="467"/>
      <c r="AZ108" s="287"/>
      <c r="BA108" s="288"/>
      <c r="BB108" s="467"/>
      <c r="BC108" s="287"/>
      <c r="BD108" s="513"/>
      <c r="BE108" s="521"/>
      <c r="BF108" s="287"/>
      <c r="BG108" s="288"/>
      <c r="BH108" s="467"/>
      <c r="BI108" s="287"/>
      <c r="BJ108" s="288"/>
      <c r="BK108" s="467"/>
      <c r="BL108" s="287"/>
      <c r="BM108" s="288"/>
      <c r="BN108" s="467">
        <f>BN105-BN106-BN107-BN109</f>
        <v>1332.3288580000003</v>
      </c>
      <c r="BO108" s="287"/>
      <c r="BP108" s="513"/>
      <c r="BQ108" s="521">
        <f>BQ105-BQ106-BQ107-BQ109</f>
        <v>1336.0965490000003</v>
      </c>
      <c r="BR108" s="287">
        <f>BR65</f>
        <v>0</v>
      </c>
      <c r="BS108" s="288"/>
      <c r="BT108" s="467">
        <f>BT105-BT106-BT107-BT109</f>
        <v>1432.3716789999992</v>
      </c>
      <c r="BU108" s="287">
        <f>BU65</f>
        <v>0</v>
      </c>
      <c r="BV108" s="288"/>
      <c r="BW108" s="467">
        <f>BW105-BW106-BW107-BW109</f>
        <v>1458.3914109999992</v>
      </c>
      <c r="BX108" s="287">
        <f>BX65</f>
        <v>0</v>
      </c>
      <c r="BY108" s="288"/>
      <c r="BZ108" s="467">
        <f>BZ105-BZ106-BZ107-BZ109</f>
        <v>135138.41748300003</v>
      </c>
      <c r="CA108" s="287">
        <f>IFERROR(BZ108/BW108-1,0)</f>
        <v>91.662653155874978</v>
      </c>
      <c r="CB108" s="513">
        <f>IFERROR(BZ108/BN108-1,)</f>
        <v>100.4302262324787</v>
      </c>
      <c r="CC108" s="521">
        <f>CC105-CC106-CC107-CC109</f>
        <v>135245.18900000001</v>
      </c>
      <c r="CD108" s="287">
        <f>IFERROR(CC108/BZ108-1,0)</f>
        <v>7.9009003500729591E-4</v>
      </c>
      <c r="CE108" s="288">
        <f>IFERROR(CC108/BQ108-1,)</f>
        <v>100.2241137073695</v>
      </c>
      <c r="CF108" s="467">
        <f>CF105-CF106-CF107-CF109</f>
        <v>135493.79874000003</v>
      </c>
      <c r="CG108" s="287">
        <f t="shared" si="223"/>
        <v>1.8382150362481475E-3</v>
      </c>
      <c r="CH108" s="288">
        <f t="shared" si="224"/>
        <v>93.594022435988208</v>
      </c>
      <c r="CI108" s="467">
        <f>CI105-CI106-CI107-CI109</f>
        <v>135411.03062900002</v>
      </c>
      <c r="CJ108" s="287">
        <f t="shared" si="309"/>
        <v>-6.10862724122474E-4</v>
      </c>
      <c r="CK108" s="288">
        <f t="shared" si="310"/>
        <v>91.849580440240331</v>
      </c>
      <c r="CL108" s="467">
        <v>135474</v>
      </c>
      <c r="CM108" s="287">
        <f t="shared" si="311"/>
        <v>4.6502394012870596E-4</v>
      </c>
      <c r="CN108" s="288">
        <f t="shared" si="312"/>
        <v>2.4832503092038216E-3</v>
      </c>
      <c r="CO108" s="521">
        <v>143441</v>
      </c>
      <c r="CP108" s="287">
        <f>IFERROR(CO108/CL108-1,0)</f>
        <v>5.8808332226109705E-2</v>
      </c>
      <c r="CQ108" s="287">
        <f>IFERROR(CO108/CC108-1,)</f>
        <v>6.0599649130587352E-2</v>
      </c>
      <c r="CR108" s="716">
        <v>158009.68</v>
      </c>
      <c r="CS108" s="287">
        <f t="shared" si="313"/>
        <v>0.10156566114290899</v>
      </c>
      <c r="CT108" s="288">
        <f t="shared" si="314"/>
        <v>0.16617647057933516</v>
      </c>
      <c r="CU108" s="716">
        <v>0</v>
      </c>
      <c r="CV108" s="287">
        <f t="shared" si="315"/>
        <v>-1</v>
      </c>
      <c r="CW108" s="288">
        <f t="shared" si="316"/>
        <v>-1</v>
      </c>
      <c r="CX108" s="716">
        <v>0</v>
      </c>
      <c r="CY108" s="287">
        <f t="shared" si="317"/>
        <v>0</v>
      </c>
      <c r="CZ108" s="513">
        <f t="shared" si="318"/>
        <v>-1</v>
      </c>
    </row>
    <row r="109" spans="1:110" ht="16.2" customHeight="1">
      <c r="C109" s="574" t="s">
        <v>430</v>
      </c>
      <c r="D109" s="642" t="s">
        <v>441</v>
      </c>
      <c r="E109" s="612"/>
      <c r="F109" s="612"/>
      <c r="G109" s="612"/>
      <c r="H109" s="613"/>
      <c r="I109" s="613"/>
      <c r="J109" s="612"/>
      <c r="K109" s="613"/>
      <c r="L109" s="613"/>
      <c r="M109" s="612"/>
      <c r="N109" s="613"/>
      <c r="O109" s="613"/>
      <c r="P109" s="612"/>
      <c r="Q109" s="613"/>
      <c r="R109" s="613"/>
      <c r="S109" s="612"/>
      <c r="T109" s="613"/>
      <c r="U109" s="613"/>
      <c r="V109" s="612"/>
      <c r="W109" s="613"/>
      <c r="X109" s="613"/>
      <c r="Y109" s="612"/>
      <c r="Z109" s="613"/>
      <c r="AA109" s="613"/>
      <c r="AB109" s="612"/>
      <c r="AC109" s="613"/>
      <c r="AD109" s="612"/>
      <c r="AE109" s="612"/>
      <c r="AF109" s="612"/>
      <c r="AG109" s="612"/>
      <c r="AH109" s="612"/>
      <c r="AI109" s="612"/>
      <c r="AJ109" s="612"/>
      <c r="AK109" s="612"/>
      <c r="AL109" s="612"/>
      <c r="AM109" s="612"/>
      <c r="AN109" s="612"/>
      <c r="AO109" s="612"/>
      <c r="AP109" s="573"/>
      <c r="AQ109" s="577"/>
      <c r="AR109" s="578"/>
      <c r="AS109" s="573"/>
      <c r="AT109" s="577"/>
      <c r="AU109" s="614"/>
      <c r="AV109" s="610"/>
      <c r="AW109" s="577"/>
      <c r="AX109" s="614"/>
      <c r="AY109" s="610"/>
      <c r="AZ109" s="577"/>
      <c r="BA109" s="614"/>
      <c r="BB109" s="610"/>
      <c r="BC109" s="577"/>
      <c r="BD109" s="578"/>
      <c r="BE109" s="573"/>
      <c r="BF109" s="577"/>
      <c r="BG109" s="614"/>
      <c r="BH109" s="610"/>
      <c r="BI109" s="577"/>
      <c r="BJ109" s="614"/>
      <c r="BK109" s="610"/>
      <c r="BL109" s="577"/>
      <c r="BM109" s="614"/>
      <c r="BN109" s="610">
        <f>-694.771</f>
        <v>-694.77099999999996</v>
      </c>
      <c r="BO109" s="577"/>
      <c r="BP109" s="578"/>
      <c r="BQ109" s="573">
        <f>-772.092</f>
        <v>-772.09199999999998</v>
      </c>
      <c r="BR109" s="577">
        <f>BR66</f>
        <v>0</v>
      </c>
      <c r="BS109" s="614"/>
      <c r="BT109" s="610">
        <f>-849.983</f>
        <v>-849.98299999999995</v>
      </c>
      <c r="BU109" s="577">
        <f>BU66</f>
        <v>0</v>
      </c>
      <c r="BV109" s="614"/>
      <c r="BW109" s="610">
        <f>-935.709</f>
        <v>-935.70899999999995</v>
      </c>
      <c r="BX109" s="577">
        <f>BX66</f>
        <v>0</v>
      </c>
      <c r="BY109" s="614"/>
      <c r="BZ109" s="610">
        <v>-4100.6540000000005</v>
      </c>
      <c r="CA109" s="577">
        <f>IFERROR(BZ109/BW109-1,0)</f>
        <v>3.382403076170049</v>
      </c>
      <c r="CB109" s="578">
        <f>IFERROR(BZ109/BN109-1,)</f>
        <v>4.9021663253071885</v>
      </c>
      <c r="CC109" s="573">
        <v>-6039.3990000000003</v>
      </c>
      <c r="CD109" s="577">
        <f>IFERROR(CC109/BZ109-1,0)</f>
        <v>0.47278921850026845</v>
      </c>
      <c r="CE109" s="614">
        <f>IFERROR(CC109/BQ109-1,)</f>
        <v>6.8221235293203408</v>
      </c>
      <c r="CF109" s="610">
        <v>-7987.3360000000002</v>
      </c>
      <c r="CG109" s="577">
        <f t="shared" si="223"/>
        <v>0.32253821944865702</v>
      </c>
      <c r="CH109" s="614">
        <f t="shared" si="224"/>
        <v>8.3970538234294114</v>
      </c>
      <c r="CI109" s="610">
        <v>-10027.949000000001</v>
      </c>
      <c r="CJ109" s="577">
        <f t="shared" si="309"/>
        <v>0.2554810515045316</v>
      </c>
      <c r="CK109" s="614">
        <f t="shared" si="310"/>
        <v>9.7169525995795709</v>
      </c>
      <c r="CL109" s="610">
        <v>-11697.633</v>
      </c>
      <c r="CM109" s="577">
        <f t="shared" si="311"/>
        <v>0.16650304065168253</v>
      </c>
      <c r="CN109" s="614">
        <f t="shared" si="312"/>
        <v>1.8526261908466304</v>
      </c>
      <c r="CO109" s="573">
        <v>-13699</v>
      </c>
      <c r="CP109" s="577">
        <f>IFERROR(CO109/CL109-1,0)</f>
        <v>0.1710916216981675</v>
      </c>
      <c r="CQ109" s="577">
        <f>IFERROR(CO109/CC109-1,)</f>
        <v>1.2682720581965192</v>
      </c>
      <c r="CR109" s="659">
        <v>-15805.891</v>
      </c>
      <c r="CS109" s="577">
        <f t="shared" si="313"/>
        <v>0.15379889042995831</v>
      </c>
      <c r="CT109" s="614">
        <f t="shared" si="314"/>
        <v>0.9788689245074953</v>
      </c>
      <c r="CU109" s="659">
        <v>0</v>
      </c>
      <c r="CV109" s="577">
        <f t="shared" si="315"/>
        <v>-1</v>
      </c>
      <c r="CW109" s="614">
        <f t="shared" si="316"/>
        <v>-1</v>
      </c>
      <c r="CX109" s="659">
        <v>0</v>
      </c>
      <c r="CY109" s="577">
        <f t="shared" si="317"/>
        <v>0</v>
      </c>
      <c r="CZ109" s="578">
        <f t="shared" si="318"/>
        <v>-1</v>
      </c>
      <c r="DB109" s="1"/>
      <c r="DC109" s="1"/>
      <c r="DD109" s="1"/>
      <c r="DE109" s="1"/>
      <c r="DF109" s="1"/>
    </row>
    <row r="114" spans="106:110" ht="16.2" customHeight="1">
      <c r="DB114" s="29"/>
      <c r="DC114" s="29"/>
      <c r="DD114" s="29"/>
      <c r="DE114" s="29"/>
      <c r="DF114" s="29"/>
    </row>
    <row r="117" spans="106:110" ht="16.2" customHeight="1">
      <c r="DB117" s="1"/>
      <c r="DC117" s="1"/>
      <c r="DD117" s="1"/>
      <c r="DE117" s="1"/>
      <c r="DF117" s="1"/>
    </row>
    <row r="118" spans="106:110" ht="16.2" customHeight="1">
      <c r="DC118" s="1"/>
      <c r="DD118" s="1"/>
      <c r="DE118" s="1"/>
    </row>
  </sheetData>
  <mergeCells count="1">
    <mergeCell ref="BQ82:BY87"/>
  </mergeCells>
  <phoneticPr fontId="3" type="noConversion"/>
  <conditionalFormatting sqref="J58 M58 P58 S58 V58 Y58 AB58 J67 M67 P67 S67 V67 Y67 AB67 J74 M74 P74 S74 V74 Y74 AB74">
    <cfRule type="cellIs" dxfId="346" priority="1262" operator="greaterThan">
      <formula>0.1</formula>
    </cfRule>
    <cfRule type="cellIs" dxfId="345" priority="1261" operator="lessThan">
      <formula>-0.1</formula>
    </cfRule>
  </conditionalFormatting>
  <conditionalFormatting sqref="J82 M82 P82 S82 V82 Y82 AB82">
    <cfRule type="cellIs" dxfId="344" priority="577" operator="lessThan">
      <formula>-0.1</formula>
    </cfRule>
    <cfRule type="cellIs" dxfId="343" priority="578" operator="greaterThan">
      <formula>0.1</formula>
    </cfRule>
  </conditionalFormatting>
  <conditionalFormatting sqref="J90 M90 P90 S90 V90 Y90 AB90">
    <cfRule type="cellIs" dxfId="342" priority="541" operator="lessThan">
      <formula>-0.1</formula>
    </cfRule>
    <cfRule type="cellIs" dxfId="341" priority="542" operator="greaterThan">
      <formula>0.1</formula>
    </cfRule>
  </conditionalFormatting>
  <conditionalFormatting sqref="J98 M98 P98 S98 V98 Y98 AB98">
    <cfRule type="cellIs" dxfId="340" priority="137" operator="lessThan">
      <formula>-0.1</formula>
    </cfRule>
    <cfRule type="cellIs" dxfId="339" priority="138" operator="greaterThan">
      <formula>0.1</formula>
    </cfRule>
  </conditionalFormatting>
  <conditionalFormatting sqref="J105 M105 P105 S105 V105 Y105 AB105">
    <cfRule type="cellIs" dxfId="338" priority="174" operator="greaterThan">
      <formula>0.1</formula>
    </cfRule>
    <cfRule type="cellIs" dxfId="337" priority="173" operator="lessThan">
      <formula>-0.1</formula>
    </cfRule>
  </conditionalFormatting>
  <conditionalFormatting sqref="J3:K54 M3:N54 P3:Q54 S3:T54 V3:W54 Y3:Z54 AB3:AC54 AE3:AF54 AH3:AI54 AK3:AL54 AN3:AO54 AQ3:AR54 AQ105:AR109 AT105:AU109 AW105:AX109 AZ105:BA109 BC105:BD109 BF105:BG109 BI105:BJ109 BL105:BM109 BO105:BP109 BR105:BS109 BU105:BV109 BX105:BY109 CA105:CB109">
    <cfRule type="cellIs" dxfId="336" priority="593" operator="lessThan">
      <formula>0</formula>
    </cfRule>
    <cfRule type="cellIs" dxfId="335" priority="594" operator="greaterThan">
      <formula>0</formula>
    </cfRule>
  </conditionalFormatting>
  <conditionalFormatting sqref="AQ58:AR64">
    <cfRule type="cellIs" dxfId="334" priority="1169" operator="lessThan">
      <formula>0</formula>
    </cfRule>
    <cfRule type="cellIs" dxfId="333" priority="1170" operator="greaterThan">
      <formula>0</formula>
    </cfRule>
  </conditionalFormatting>
  <conditionalFormatting sqref="AQ67:AR71">
    <cfRule type="cellIs" dxfId="332" priority="1164" operator="greaterThan">
      <formula>0</formula>
    </cfRule>
    <cfRule type="cellIs" dxfId="331" priority="1163" operator="lessThan">
      <formula>0</formula>
    </cfRule>
  </conditionalFormatting>
  <conditionalFormatting sqref="AQ74:AR79">
    <cfRule type="cellIs" dxfId="330" priority="1158" operator="greaterThan">
      <formula>0</formula>
    </cfRule>
    <cfRule type="cellIs" dxfId="329" priority="1157" operator="lessThan">
      <formula>0</formula>
    </cfRule>
  </conditionalFormatting>
  <conditionalFormatting sqref="AQ82:AR87">
    <cfRule type="cellIs" dxfId="328" priority="471" operator="lessThan">
      <formula>0</formula>
    </cfRule>
    <cfRule type="cellIs" dxfId="327" priority="472" operator="greaterThan">
      <formula>0</formula>
    </cfRule>
  </conditionalFormatting>
  <conditionalFormatting sqref="AQ90:AR95">
    <cfRule type="cellIs" dxfId="326" priority="437" operator="lessThan">
      <formula>0</formula>
    </cfRule>
    <cfRule type="cellIs" dxfId="325" priority="438" operator="greaterThan">
      <formula>0</formula>
    </cfRule>
  </conditionalFormatting>
  <conditionalFormatting sqref="AQ98:AR102">
    <cfRule type="cellIs" dxfId="324" priority="136" operator="greaterThan">
      <formula>0</formula>
    </cfRule>
    <cfRule type="cellIs" dxfId="323" priority="135" operator="lessThan">
      <formula>0</formula>
    </cfRule>
  </conditionalFormatting>
  <conditionalFormatting sqref="AT3:AU54">
    <cfRule type="cellIs" dxfId="322" priority="585" operator="lessThan">
      <formula>0</formula>
    </cfRule>
    <cfRule type="cellIs" dxfId="321" priority="586" operator="greaterThan">
      <formula>0</formula>
    </cfRule>
  </conditionalFormatting>
  <conditionalFormatting sqref="AT58:AU64">
    <cfRule type="cellIs" dxfId="320" priority="1097" operator="lessThan">
      <formula>0</formula>
    </cfRule>
    <cfRule type="cellIs" dxfId="319" priority="1098" operator="greaterThan">
      <formula>0</formula>
    </cfRule>
  </conditionalFormatting>
  <conditionalFormatting sqref="AT67:AU71">
    <cfRule type="cellIs" dxfId="318" priority="1091" operator="lessThan">
      <formula>0</formula>
    </cfRule>
    <cfRule type="cellIs" dxfId="317" priority="1092" operator="greaterThan">
      <formula>0</formula>
    </cfRule>
  </conditionalFormatting>
  <conditionalFormatting sqref="AT74:AU79">
    <cfRule type="cellIs" dxfId="316" priority="1086" operator="greaterThan">
      <formula>0</formula>
    </cfRule>
    <cfRule type="cellIs" dxfId="315" priority="1085" operator="lessThan">
      <formula>0</formula>
    </cfRule>
  </conditionalFormatting>
  <conditionalFormatting sqref="AT82:AU87">
    <cfRule type="cellIs" dxfId="314" priority="470" operator="greaterThan">
      <formula>0</formula>
    </cfRule>
    <cfRule type="cellIs" dxfId="313" priority="469" operator="lessThan">
      <formula>0</formula>
    </cfRule>
  </conditionalFormatting>
  <conditionalFormatting sqref="AT90:AU95">
    <cfRule type="cellIs" dxfId="312" priority="435" operator="lessThan">
      <formula>0</formula>
    </cfRule>
    <cfRule type="cellIs" dxfId="311" priority="436" operator="greaterThan">
      <formula>0</formula>
    </cfRule>
  </conditionalFormatting>
  <conditionalFormatting sqref="AT98:AU102">
    <cfRule type="cellIs" dxfId="310" priority="134" operator="greaterThan">
      <formula>0</formula>
    </cfRule>
    <cfRule type="cellIs" dxfId="309" priority="133" operator="lessThan">
      <formula>0</formula>
    </cfRule>
  </conditionalFormatting>
  <conditionalFormatting sqref="AW3:AX54">
    <cfRule type="cellIs" dxfId="308" priority="588" operator="greaterThan">
      <formula>0</formula>
    </cfRule>
    <cfRule type="cellIs" dxfId="307" priority="587" operator="lessThan">
      <formula>0</formula>
    </cfRule>
  </conditionalFormatting>
  <conditionalFormatting sqref="AW58:AX64">
    <cfRule type="cellIs" dxfId="306" priority="1080" operator="greaterThan">
      <formula>0</formula>
    </cfRule>
    <cfRule type="cellIs" dxfId="305" priority="1079" operator="lessThan">
      <formula>0</formula>
    </cfRule>
  </conditionalFormatting>
  <conditionalFormatting sqref="AW67:AX71">
    <cfRule type="cellIs" dxfId="304" priority="1074" operator="greaterThan">
      <formula>0</formula>
    </cfRule>
    <cfRule type="cellIs" dxfId="303" priority="1073" operator="lessThan">
      <formula>0</formula>
    </cfRule>
  </conditionalFormatting>
  <conditionalFormatting sqref="AW74:AX79">
    <cfRule type="cellIs" dxfId="302" priority="1067" operator="lessThan">
      <formula>0</formula>
    </cfRule>
    <cfRule type="cellIs" dxfId="301" priority="1068" operator="greaterThan">
      <formula>0</formula>
    </cfRule>
  </conditionalFormatting>
  <conditionalFormatting sqref="AW82:AX87">
    <cfRule type="cellIs" dxfId="300" priority="468" operator="greaterThan">
      <formula>0</formula>
    </cfRule>
    <cfRule type="cellIs" dxfId="299" priority="467" operator="lessThan">
      <formula>0</formula>
    </cfRule>
  </conditionalFormatting>
  <conditionalFormatting sqref="AW90:AX95">
    <cfRule type="cellIs" dxfId="298" priority="434" operator="greaterThan">
      <formula>0</formula>
    </cfRule>
    <cfRule type="cellIs" dxfId="297" priority="433" operator="lessThan">
      <formula>0</formula>
    </cfRule>
  </conditionalFormatting>
  <conditionalFormatting sqref="AW98:AX102">
    <cfRule type="cellIs" dxfId="296" priority="132" operator="greaterThan">
      <formula>0</formula>
    </cfRule>
    <cfRule type="cellIs" dxfId="295" priority="131" operator="lessThan">
      <formula>0</formula>
    </cfRule>
  </conditionalFormatting>
  <conditionalFormatting sqref="AZ3:BA54">
    <cfRule type="cellIs" dxfId="294" priority="590" operator="greaterThan">
      <formula>0</formula>
    </cfRule>
    <cfRule type="cellIs" dxfId="293" priority="589" operator="lessThan">
      <formula>0</formula>
    </cfRule>
  </conditionalFormatting>
  <conditionalFormatting sqref="AZ58:BA64">
    <cfRule type="cellIs" dxfId="292" priority="1061" operator="lessThan">
      <formula>0</formula>
    </cfRule>
    <cfRule type="cellIs" dxfId="291" priority="1062" operator="greaterThan">
      <formula>0</formula>
    </cfRule>
  </conditionalFormatting>
  <conditionalFormatting sqref="AZ67:BA71">
    <cfRule type="cellIs" dxfId="290" priority="1055" operator="lessThan">
      <formula>0</formula>
    </cfRule>
    <cfRule type="cellIs" dxfId="289" priority="1056" operator="greaterThan">
      <formula>0</formula>
    </cfRule>
  </conditionalFormatting>
  <conditionalFormatting sqref="AZ74:BA79">
    <cfRule type="cellIs" dxfId="288" priority="1049" operator="lessThan">
      <formula>0</formula>
    </cfRule>
    <cfRule type="cellIs" dxfId="287" priority="1050" operator="greaterThan">
      <formula>0</formula>
    </cfRule>
  </conditionalFormatting>
  <conditionalFormatting sqref="AZ82:BA87">
    <cfRule type="cellIs" dxfId="286" priority="466" operator="greaterThan">
      <formula>0</formula>
    </cfRule>
    <cfRule type="cellIs" dxfId="285" priority="465" operator="lessThan">
      <formula>0</formula>
    </cfRule>
  </conditionalFormatting>
  <conditionalFormatting sqref="AZ90:BA95">
    <cfRule type="cellIs" dxfId="284" priority="431" operator="lessThan">
      <formula>0</formula>
    </cfRule>
    <cfRule type="cellIs" dxfId="283" priority="432" operator="greaterThan">
      <formula>0</formula>
    </cfRule>
  </conditionalFormatting>
  <conditionalFormatting sqref="AZ98:BA102">
    <cfRule type="cellIs" dxfId="282" priority="130" operator="greaterThan">
      <formula>0</formula>
    </cfRule>
    <cfRule type="cellIs" dxfId="281" priority="129" operator="lessThan">
      <formula>0</formula>
    </cfRule>
  </conditionalFormatting>
  <conditionalFormatting sqref="BC3:BD54">
    <cfRule type="cellIs" dxfId="280" priority="591" operator="lessThan">
      <formula>0</formula>
    </cfRule>
    <cfRule type="cellIs" dxfId="279" priority="592" operator="greaterThan">
      <formula>0</formula>
    </cfRule>
  </conditionalFormatting>
  <conditionalFormatting sqref="BC58:BD64">
    <cfRule type="cellIs" dxfId="278" priority="1043" operator="lessThan">
      <formula>0</formula>
    </cfRule>
    <cfRule type="cellIs" dxfId="277" priority="1044" operator="greaterThan">
      <formula>0</formula>
    </cfRule>
  </conditionalFormatting>
  <conditionalFormatting sqref="BC67:BD71">
    <cfRule type="cellIs" dxfId="276" priority="1037" operator="lessThan">
      <formula>0</formula>
    </cfRule>
    <cfRule type="cellIs" dxfId="275" priority="1038" operator="greaterThan">
      <formula>0</formula>
    </cfRule>
  </conditionalFormatting>
  <conditionalFormatting sqref="BC74:BD79">
    <cfRule type="cellIs" dxfId="274" priority="1031" operator="lessThan">
      <formula>0</formula>
    </cfRule>
    <cfRule type="cellIs" dxfId="273" priority="1032" operator="greaterThan">
      <formula>0</formula>
    </cfRule>
  </conditionalFormatting>
  <conditionalFormatting sqref="BC82:BD87">
    <cfRule type="cellIs" dxfId="272" priority="463" operator="lessThan">
      <formula>0</formula>
    </cfRule>
    <cfRule type="cellIs" dxfId="271" priority="464" operator="greaterThan">
      <formula>0</formula>
    </cfRule>
  </conditionalFormatting>
  <conditionalFormatting sqref="BC90:BD95">
    <cfRule type="cellIs" dxfId="270" priority="430" operator="greaterThan">
      <formula>0</formula>
    </cfRule>
    <cfRule type="cellIs" dxfId="269" priority="429" operator="lessThan">
      <formula>0</formula>
    </cfRule>
  </conditionalFormatting>
  <conditionalFormatting sqref="BC98:BD102">
    <cfRule type="cellIs" dxfId="268" priority="128" operator="greaterThan">
      <formula>0</formula>
    </cfRule>
    <cfRule type="cellIs" dxfId="267" priority="127" operator="lessThan">
      <formula>0</formula>
    </cfRule>
  </conditionalFormatting>
  <conditionalFormatting sqref="BF3:BG54 BI3:BJ54 BL3:BM54 BO3:BP54 BR3:BS54 BU3:BV54">
    <cfRule type="cellIs" dxfId="266" priority="596" operator="greaterThan">
      <formula>0</formula>
    </cfRule>
    <cfRule type="cellIs" dxfId="265" priority="595" operator="lessThan">
      <formula>0</formula>
    </cfRule>
  </conditionalFormatting>
  <conditionalFormatting sqref="BF58:BG64">
    <cfRule type="cellIs" dxfId="264" priority="899" operator="lessThan">
      <formula>0</formula>
    </cfRule>
    <cfRule type="cellIs" dxfId="263" priority="900" operator="greaterThan">
      <formula>0</formula>
    </cfRule>
  </conditionalFormatting>
  <conditionalFormatting sqref="BF67:BG71">
    <cfRule type="cellIs" dxfId="262" priority="893" operator="lessThan">
      <formula>0</formula>
    </cfRule>
    <cfRule type="cellIs" dxfId="261" priority="894" operator="greaterThan">
      <formula>0</formula>
    </cfRule>
  </conditionalFormatting>
  <conditionalFormatting sqref="BF74:BG79">
    <cfRule type="cellIs" dxfId="260" priority="887" operator="lessThan">
      <formula>0</formula>
    </cfRule>
    <cfRule type="cellIs" dxfId="259" priority="888" operator="greaterThan">
      <formula>0</formula>
    </cfRule>
  </conditionalFormatting>
  <conditionalFormatting sqref="BF82:BG87">
    <cfRule type="cellIs" dxfId="258" priority="461" operator="lessThan">
      <formula>0</formula>
    </cfRule>
    <cfRule type="cellIs" dxfId="257" priority="462" operator="greaterThan">
      <formula>0</formula>
    </cfRule>
  </conditionalFormatting>
  <conditionalFormatting sqref="BF90:BG95">
    <cfRule type="cellIs" dxfId="256" priority="427" operator="lessThan">
      <formula>0</formula>
    </cfRule>
    <cfRule type="cellIs" dxfId="255" priority="428" operator="greaterThan">
      <formula>0</formula>
    </cfRule>
  </conditionalFormatting>
  <conditionalFormatting sqref="BF98:BG102">
    <cfRule type="cellIs" dxfId="254" priority="126" operator="greaterThan">
      <formula>0</formula>
    </cfRule>
    <cfRule type="cellIs" dxfId="253" priority="125" operator="lessThan">
      <formula>0</formula>
    </cfRule>
  </conditionalFormatting>
  <conditionalFormatting sqref="BI58:BJ64">
    <cfRule type="cellIs" dxfId="252" priority="882" operator="greaterThan">
      <formula>0</formula>
    </cfRule>
    <cfRule type="cellIs" dxfId="251" priority="881" operator="lessThan">
      <formula>0</formula>
    </cfRule>
  </conditionalFormatting>
  <conditionalFormatting sqref="BI67:BJ71">
    <cfRule type="cellIs" dxfId="250" priority="876" operator="greaterThan">
      <formula>0</formula>
    </cfRule>
    <cfRule type="cellIs" dxfId="249" priority="875" operator="lessThan">
      <formula>0</formula>
    </cfRule>
  </conditionalFormatting>
  <conditionalFormatting sqref="BI74:BJ79">
    <cfRule type="cellIs" dxfId="248" priority="869" operator="lessThan">
      <formula>0</formula>
    </cfRule>
    <cfRule type="cellIs" dxfId="247" priority="870" operator="greaterThan">
      <formula>0</formula>
    </cfRule>
  </conditionalFormatting>
  <conditionalFormatting sqref="BI82:BJ87">
    <cfRule type="cellIs" dxfId="246" priority="460" operator="greaterThan">
      <formula>0</formula>
    </cfRule>
    <cfRule type="cellIs" dxfId="245" priority="459" operator="lessThan">
      <formula>0</formula>
    </cfRule>
  </conditionalFormatting>
  <conditionalFormatting sqref="BI90:BJ95">
    <cfRule type="cellIs" dxfId="244" priority="426" operator="greaterThan">
      <formula>0</formula>
    </cfRule>
    <cfRule type="cellIs" dxfId="243" priority="425" operator="lessThan">
      <formula>0</formula>
    </cfRule>
  </conditionalFormatting>
  <conditionalFormatting sqref="BI98:BJ102">
    <cfRule type="cellIs" dxfId="242" priority="123" operator="lessThan">
      <formula>0</formula>
    </cfRule>
    <cfRule type="cellIs" dxfId="241" priority="124" operator="greaterThan">
      <formula>0</formula>
    </cfRule>
  </conditionalFormatting>
  <conditionalFormatting sqref="BL58:BM64">
    <cfRule type="cellIs" dxfId="240" priority="864" operator="greaterThan">
      <formula>0</formula>
    </cfRule>
    <cfRule type="cellIs" dxfId="239" priority="863" operator="lessThan">
      <formula>0</formula>
    </cfRule>
  </conditionalFormatting>
  <conditionalFormatting sqref="BL67:BM71">
    <cfRule type="cellIs" dxfId="238" priority="857" operator="lessThan">
      <formula>0</formula>
    </cfRule>
    <cfRule type="cellIs" dxfId="237" priority="858" operator="greaterThan">
      <formula>0</formula>
    </cfRule>
  </conditionalFormatting>
  <conditionalFormatting sqref="BL74:BM79">
    <cfRule type="cellIs" dxfId="236" priority="851" operator="lessThan">
      <formula>0</formula>
    </cfRule>
    <cfRule type="cellIs" dxfId="235" priority="852" operator="greaterThan">
      <formula>0</formula>
    </cfRule>
  </conditionalFormatting>
  <conditionalFormatting sqref="BL82:BM87">
    <cfRule type="cellIs" dxfId="234" priority="458" operator="greaterThan">
      <formula>0</formula>
    </cfRule>
    <cfRule type="cellIs" dxfId="233" priority="457" operator="lessThan">
      <formula>0</formula>
    </cfRule>
  </conditionalFormatting>
  <conditionalFormatting sqref="BL90:BM95">
    <cfRule type="cellIs" dxfId="232" priority="423" operator="lessThan">
      <formula>0</formula>
    </cfRule>
    <cfRule type="cellIs" dxfId="231" priority="424" operator="greaterThan">
      <formula>0</formula>
    </cfRule>
  </conditionalFormatting>
  <conditionalFormatting sqref="BL98:BM102">
    <cfRule type="cellIs" dxfId="230" priority="121" operator="lessThan">
      <formula>0</formula>
    </cfRule>
    <cfRule type="cellIs" dxfId="229" priority="122" operator="greaterThan">
      <formula>0</formula>
    </cfRule>
  </conditionalFormatting>
  <conditionalFormatting sqref="BO58:BP64">
    <cfRule type="cellIs" dxfId="228" priority="845" operator="lessThan">
      <formula>0</formula>
    </cfRule>
    <cfRule type="cellIs" dxfId="227" priority="846" operator="greaterThan">
      <formula>0</formula>
    </cfRule>
  </conditionalFormatting>
  <conditionalFormatting sqref="BO67:BP71">
    <cfRule type="cellIs" dxfId="226" priority="840" operator="greaterThan">
      <formula>0</formula>
    </cfRule>
    <cfRule type="cellIs" dxfId="225" priority="839" operator="lessThan">
      <formula>0</formula>
    </cfRule>
  </conditionalFormatting>
  <conditionalFormatting sqref="BO74:BP79">
    <cfRule type="cellIs" dxfId="224" priority="834" operator="greaterThan">
      <formula>0</formula>
    </cfRule>
    <cfRule type="cellIs" dxfId="223" priority="833" operator="lessThan">
      <formula>0</formula>
    </cfRule>
  </conditionalFormatting>
  <conditionalFormatting sqref="BO82:BP87">
    <cfRule type="cellIs" dxfId="222" priority="455" operator="lessThan">
      <formula>0</formula>
    </cfRule>
    <cfRule type="cellIs" dxfId="221" priority="456" operator="greaterThan">
      <formula>0</formula>
    </cfRule>
  </conditionalFormatting>
  <conditionalFormatting sqref="BO90:BP95">
    <cfRule type="cellIs" dxfId="220" priority="422" operator="greaterThan">
      <formula>0</formula>
    </cfRule>
    <cfRule type="cellIs" dxfId="219" priority="421" operator="lessThan">
      <formula>0</formula>
    </cfRule>
  </conditionalFormatting>
  <conditionalFormatting sqref="BO98:BP102">
    <cfRule type="cellIs" dxfId="218" priority="119" operator="lessThan">
      <formula>0</formula>
    </cfRule>
    <cfRule type="cellIs" dxfId="217" priority="120" operator="greaterThan">
      <formula>0</formula>
    </cfRule>
  </conditionalFormatting>
  <conditionalFormatting sqref="BR58:BS64">
    <cfRule type="cellIs" dxfId="216" priority="810" operator="greaterThan">
      <formula>0</formula>
    </cfRule>
    <cfRule type="cellIs" dxfId="215" priority="809" operator="lessThan">
      <formula>0</formula>
    </cfRule>
  </conditionalFormatting>
  <conditionalFormatting sqref="BR67:BS71">
    <cfRule type="cellIs" dxfId="214" priority="804" operator="greaterThan">
      <formula>0</formula>
    </cfRule>
    <cfRule type="cellIs" dxfId="213" priority="803" operator="lessThan">
      <formula>0</formula>
    </cfRule>
  </conditionalFormatting>
  <conditionalFormatting sqref="BR74:BS79">
    <cfRule type="cellIs" dxfId="212" priority="797" operator="lessThan">
      <formula>0</formula>
    </cfRule>
    <cfRule type="cellIs" dxfId="211" priority="798" operator="greaterThan">
      <formula>0</formula>
    </cfRule>
  </conditionalFormatting>
  <conditionalFormatting sqref="BR90:BS95">
    <cfRule type="cellIs" dxfId="210" priority="420" operator="greaterThan">
      <formula>0</formula>
    </cfRule>
    <cfRule type="cellIs" dxfId="209" priority="419" operator="lessThan">
      <formula>0</formula>
    </cfRule>
  </conditionalFormatting>
  <conditionalFormatting sqref="BR98:BS102">
    <cfRule type="cellIs" dxfId="208" priority="117" operator="lessThan">
      <formula>0</formula>
    </cfRule>
    <cfRule type="cellIs" dxfId="207" priority="118" operator="greaterThan">
      <formula>0</formula>
    </cfRule>
  </conditionalFormatting>
  <conditionalFormatting sqref="BU58:BV64">
    <cfRule type="cellIs" dxfId="206" priority="791" operator="lessThan">
      <formula>0</formula>
    </cfRule>
    <cfRule type="cellIs" dxfId="205" priority="792" operator="greaterThan">
      <formula>0</formula>
    </cfRule>
  </conditionalFormatting>
  <conditionalFormatting sqref="BU67:BV71">
    <cfRule type="cellIs" dxfId="204" priority="785" operator="lessThan">
      <formula>0</formula>
    </cfRule>
    <cfRule type="cellIs" dxfId="203" priority="786" operator="greaterThan">
      <formula>0</formula>
    </cfRule>
  </conditionalFormatting>
  <conditionalFormatting sqref="BU74:BV79">
    <cfRule type="cellIs" dxfId="202" priority="780" operator="greaterThan">
      <formula>0</formula>
    </cfRule>
    <cfRule type="cellIs" dxfId="201" priority="779" operator="lessThan">
      <formula>0</formula>
    </cfRule>
  </conditionalFormatting>
  <conditionalFormatting sqref="BU90:BV95">
    <cfRule type="cellIs" dxfId="200" priority="418" operator="greaterThan">
      <formula>0</formula>
    </cfRule>
    <cfRule type="cellIs" dxfId="199" priority="417" operator="lessThan">
      <formula>0</formula>
    </cfRule>
  </conditionalFormatting>
  <conditionalFormatting sqref="BU98:BV102">
    <cfRule type="cellIs" dxfId="198" priority="115" operator="lessThan">
      <formula>0</formula>
    </cfRule>
    <cfRule type="cellIs" dxfId="197" priority="116" operator="greaterThan">
      <formula>0</formula>
    </cfRule>
  </conditionalFormatting>
  <conditionalFormatting sqref="BX3:BY54">
    <cfRule type="cellIs" dxfId="196" priority="597" operator="lessThan">
      <formula>0</formula>
    </cfRule>
    <cfRule type="cellIs" dxfId="195" priority="598" operator="greaterThan">
      <formula>0</formula>
    </cfRule>
  </conditionalFormatting>
  <conditionalFormatting sqref="BX58:BY64">
    <cfRule type="cellIs" dxfId="194" priority="774" operator="greaterThan">
      <formula>0</formula>
    </cfRule>
    <cfRule type="cellIs" dxfId="193" priority="773" operator="lessThan">
      <formula>0</formula>
    </cfRule>
  </conditionalFormatting>
  <conditionalFormatting sqref="BX67:BY71">
    <cfRule type="cellIs" dxfId="192" priority="768" operator="greaterThan">
      <formula>0</formula>
    </cfRule>
    <cfRule type="cellIs" dxfId="191" priority="767" operator="lessThan">
      <formula>0</formula>
    </cfRule>
  </conditionalFormatting>
  <conditionalFormatting sqref="BX74:BY79">
    <cfRule type="cellIs" dxfId="190" priority="762" operator="greaterThan">
      <formula>0</formula>
    </cfRule>
    <cfRule type="cellIs" dxfId="189" priority="761" operator="lessThan">
      <formula>0</formula>
    </cfRule>
  </conditionalFormatting>
  <conditionalFormatting sqref="BX90:BY95">
    <cfRule type="cellIs" dxfId="188" priority="416" operator="greaterThan">
      <formula>0</formula>
    </cfRule>
    <cfRule type="cellIs" dxfId="187" priority="415" operator="lessThan">
      <formula>0</formula>
    </cfRule>
  </conditionalFormatting>
  <conditionalFormatting sqref="BX98:BY102">
    <cfRule type="cellIs" dxfId="186" priority="114" operator="greaterThan">
      <formula>0</formula>
    </cfRule>
    <cfRule type="cellIs" dxfId="185" priority="113" operator="lessThan">
      <formula>0</formula>
    </cfRule>
  </conditionalFormatting>
  <conditionalFormatting sqref="CA3:CB54">
    <cfRule type="cellIs" dxfId="184" priority="1271" operator="greaterThan">
      <formula>0</formula>
    </cfRule>
    <cfRule type="cellIs" dxfId="183" priority="1270" operator="lessThan">
      <formula>0</formula>
    </cfRule>
  </conditionalFormatting>
  <conditionalFormatting sqref="CA58:CB64">
    <cfRule type="cellIs" dxfId="182" priority="756" operator="greaterThan">
      <formula>0</formula>
    </cfRule>
    <cfRule type="cellIs" dxfId="181" priority="755" operator="lessThan">
      <formula>0</formula>
    </cfRule>
  </conditionalFormatting>
  <conditionalFormatting sqref="CA67:CB71">
    <cfRule type="cellIs" dxfId="180" priority="749" operator="lessThan">
      <formula>0</formula>
    </cfRule>
    <cfRule type="cellIs" dxfId="179" priority="750" operator="greaterThan">
      <formula>0</formula>
    </cfRule>
  </conditionalFormatting>
  <conditionalFormatting sqref="CA74:CB79">
    <cfRule type="cellIs" dxfId="178" priority="743" operator="lessThan">
      <formula>0</formula>
    </cfRule>
    <cfRule type="cellIs" dxfId="177" priority="744" operator="greaterThan">
      <formula>0</formula>
    </cfRule>
  </conditionalFormatting>
  <conditionalFormatting sqref="CA82:CB87">
    <cfRule type="cellIs" dxfId="176" priority="218" operator="greaterThan">
      <formula>0</formula>
    </cfRule>
    <cfRule type="cellIs" dxfId="175" priority="217" operator="lessThan">
      <formula>0</formula>
    </cfRule>
  </conditionalFormatting>
  <conditionalFormatting sqref="CA90:CB95">
    <cfRule type="cellIs" dxfId="174" priority="403" operator="lessThan">
      <formula>0</formula>
    </cfRule>
    <cfRule type="cellIs" dxfId="173" priority="404" operator="greaterThan">
      <formula>0</formula>
    </cfRule>
  </conditionalFormatting>
  <conditionalFormatting sqref="CA98:CB102">
    <cfRule type="cellIs" dxfId="172" priority="110" operator="greaterThan">
      <formula>0</formula>
    </cfRule>
    <cfRule type="cellIs" dxfId="171" priority="109" operator="lessThan">
      <formula>0</formula>
    </cfRule>
  </conditionalFormatting>
  <conditionalFormatting sqref="CD3:CE54 CG3:CH54">
    <cfRule type="cellIs" dxfId="170" priority="235" operator="lessThan">
      <formula>0</formula>
    </cfRule>
    <cfRule type="cellIs" dxfId="169" priority="236" operator="greaterThan">
      <formula>0</formula>
    </cfRule>
  </conditionalFormatting>
  <conditionalFormatting sqref="CD58:CE64">
    <cfRule type="cellIs" dxfId="168" priority="255" operator="lessThan">
      <formula>0</formula>
    </cfRule>
    <cfRule type="cellIs" dxfId="167" priority="256" operator="greaterThan">
      <formula>0</formula>
    </cfRule>
  </conditionalFormatting>
  <conditionalFormatting sqref="CD67:CE71">
    <cfRule type="cellIs" dxfId="166" priority="254" operator="greaterThan">
      <formula>0</formula>
    </cfRule>
    <cfRule type="cellIs" dxfId="165" priority="253" operator="lessThan">
      <formula>0</formula>
    </cfRule>
  </conditionalFormatting>
  <conditionalFormatting sqref="CD74:CE79">
    <cfRule type="cellIs" dxfId="164" priority="252" operator="greaterThan">
      <formula>0</formula>
    </cfRule>
    <cfRule type="cellIs" dxfId="163" priority="251" operator="lessThan">
      <formula>0</formula>
    </cfRule>
  </conditionalFormatting>
  <conditionalFormatting sqref="CD82:CE87">
    <cfRule type="cellIs" dxfId="162" priority="216" operator="greaterThan">
      <formula>0</formula>
    </cfRule>
    <cfRule type="cellIs" dxfId="161" priority="215" operator="lessThan">
      <formula>0</formula>
    </cfRule>
  </conditionalFormatting>
  <conditionalFormatting sqref="CD90:CE95">
    <cfRule type="cellIs" dxfId="160" priority="287" operator="lessThan">
      <formula>0</formula>
    </cfRule>
    <cfRule type="cellIs" dxfId="159" priority="287" operator="greaterThan">
      <formula>0</formula>
    </cfRule>
  </conditionalFormatting>
  <conditionalFormatting sqref="CD98:CE102">
    <cfRule type="cellIs" dxfId="158" priority="285" operator="greaterThan">
      <formula>0</formula>
    </cfRule>
    <cfRule type="cellIs" dxfId="157" priority="108" operator="lessThan">
      <formula>0</formula>
    </cfRule>
  </conditionalFormatting>
  <conditionalFormatting sqref="CD105:CE109 CG105:CH109 CJ105:CK109 CM105:CN109 CP105:CQ109 CS105:CT109 CV105:CW109 CY105:CZ109">
    <cfRule type="cellIs" dxfId="156" priority="144" operator="lessThan">
      <formula>0</formula>
    </cfRule>
  </conditionalFormatting>
  <conditionalFormatting sqref="CD109:CE109">
    <cfRule type="cellIs" dxfId="155" priority="283" operator="greaterThan">
      <formula>0</formula>
    </cfRule>
  </conditionalFormatting>
  <conditionalFormatting sqref="CG58:CH64">
    <cfRule type="cellIs" dxfId="154" priority="250" operator="greaterThan">
      <formula>0</formula>
    </cfRule>
    <cfRule type="cellIs" dxfId="153" priority="249" operator="lessThan">
      <formula>0</formula>
    </cfRule>
  </conditionalFormatting>
  <conditionalFormatting sqref="CG67:CH71">
    <cfRule type="cellIs" dxfId="152" priority="247" operator="lessThan">
      <formula>0</formula>
    </cfRule>
    <cfRule type="cellIs" dxfId="151" priority="248" operator="greaterThan">
      <formula>0</formula>
    </cfRule>
  </conditionalFormatting>
  <conditionalFormatting sqref="CG74:CH79">
    <cfRule type="cellIs" dxfId="150" priority="245" operator="lessThan">
      <formula>0</formula>
    </cfRule>
    <cfRule type="cellIs" dxfId="149" priority="246" operator="greaterThan">
      <formula>0</formula>
    </cfRule>
  </conditionalFormatting>
  <conditionalFormatting sqref="CG82:CH87">
    <cfRule type="cellIs" dxfId="148" priority="213" operator="lessThan">
      <formula>0</formula>
    </cfRule>
    <cfRule type="cellIs" dxfId="147" priority="214" operator="greaterThan">
      <formula>0</formula>
    </cfRule>
  </conditionalFormatting>
  <conditionalFormatting sqref="CG90:CH95">
    <cfRule type="cellIs" dxfId="146" priority="275" operator="greaterThan">
      <formula>0</formula>
    </cfRule>
    <cfRule type="cellIs" dxfId="145" priority="275" operator="lessThan">
      <formula>0</formula>
    </cfRule>
  </conditionalFormatting>
  <conditionalFormatting sqref="CG98:CH102">
    <cfRule type="cellIs" dxfId="144" priority="107" operator="greaterThan">
      <formula>0</formula>
    </cfRule>
    <cfRule type="cellIs" dxfId="143" priority="107" operator="lessThan">
      <formula>0</formula>
    </cfRule>
  </conditionalFormatting>
  <conditionalFormatting sqref="CG109:CH109">
    <cfRule type="cellIs" dxfId="142" priority="271" operator="greaterThan">
      <formula>0</formula>
    </cfRule>
  </conditionalFormatting>
  <conditionalFormatting sqref="CJ3:CK54">
    <cfRule type="cellIs" dxfId="141" priority="5" operator="lessThan">
      <formula>0</formula>
    </cfRule>
    <cfRule type="cellIs" dxfId="140" priority="6" operator="greaterThan">
      <formula>0</formula>
    </cfRule>
  </conditionalFormatting>
  <conditionalFormatting sqref="CJ58:CK64">
    <cfRule type="cellIs" dxfId="139" priority="100" operator="greaterThan">
      <formula>0</formula>
    </cfRule>
    <cfRule type="cellIs" dxfId="138" priority="99" operator="lessThan">
      <formula>0</formula>
    </cfRule>
  </conditionalFormatting>
  <conditionalFormatting sqref="CJ67:CK71">
    <cfRule type="cellIs" dxfId="137" priority="98" operator="greaterThan">
      <formula>0</formula>
    </cfRule>
    <cfRule type="cellIs" dxfId="136" priority="97" operator="lessThan">
      <formula>0</formula>
    </cfRule>
  </conditionalFormatting>
  <conditionalFormatting sqref="CJ74:CK79">
    <cfRule type="cellIs" dxfId="135" priority="96" operator="greaterThan">
      <formula>0</formula>
    </cfRule>
    <cfRule type="cellIs" dxfId="134" priority="95" operator="lessThan">
      <formula>0</formula>
    </cfRule>
  </conditionalFormatting>
  <conditionalFormatting sqref="CJ82:CK87">
    <cfRule type="cellIs" dxfId="133" priority="91" operator="lessThan">
      <formula>0</formula>
    </cfRule>
    <cfRule type="cellIs" dxfId="132" priority="92" operator="greaterThan">
      <formula>0</formula>
    </cfRule>
  </conditionalFormatting>
  <conditionalFormatting sqref="CJ90:CK95">
    <cfRule type="cellIs" dxfId="131" priority="102" operator="greaterThan">
      <formula>0</formula>
    </cfRule>
  </conditionalFormatting>
  <conditionalFormatting sqref="CJ98:CK102">
    <cfRule type="cellIs" dxfId="130" priority="89" operator="lessThan">
      <formula>0</formula>
    </cfRule>
  </conditionalFormatting>
  <conditionalFormatting sqref="CJ109:CK109">
    <cfRule type="cellIs" dxfId="129" priority="101" operator="greaterThan">
      <formula>0</formula>
    </cfRule>
  </conditionalFormatting>
  <conditionalFormatting sqref="CM3:CN54">
    <cfRule type="cellIs" dxfId="128" priority="3" operator="lessThan">
      <formula>0</formula>
    </cfRule>
    <cfRule type="cellIs" dxfId="127" priority="4" operator="greaterThan">
      <formula>0</formula>
    </cfRule>
  </conditionalFormatting>
  <conditionalFormatting sqref="CM58:CN64">
    <cfRule type="cellIs" dxfId="126" priority="83" operator="lessThan">
      <formula>0</formula>
    </cfRule>
    <cfRule type="cellIs" dxfId="125" priority="84" operator="greaterThan">
      <formula>0</formula>
    </cfRule>
  </conditionalFormatting>
  <conditionalFormatting sqref="CM67:CN71">
    <cfRule type="cellIs" dxfId="124" priority="82" operator="greaterThan">
      <formula>0</formula>
    </cfRule>
    <cfRule type="cellIs" dxfId="123" priority="81" operator="lessThan">
      <formula>0</formula>
    </cfRule>
  </conditionalFormatting>
  <conditionalFormatting sqref="CM74:CN79">
    <cfRule type="cellIs" dxfId="122" priority="80" operator="greaterThan">
      <formula>0</formula>
    </cfRule>
    <cfRule type="cellIs" dxfId="121" priority="79" operator="lessThan">
      <formula>0</formula>
    </cfRule>
  </conditionalFormatting>
  <conditionalFormatting sqref="CM82:CN87">
    <cfRule type="cellIs" dxfId="120" priority="75" operator="lessThan">
      <formula>0</formula>
    </cfRule>
    <cfRule type="cellIs" dxfId="119" priority="76" operator="greaterThan">
      <formula>0</formula>
    </cfRule>
  </conditionalFormatting>
  <conditionalFormatting sqref="CM90:CN95">
    <cfRule type="cellIs" dxfId="118" priority="86" operator="greaterThan">
      <formula>0</formula>
    </cfRule>
  </conditionalFormatting>
  <conditionalFormatting sqref="CM98:CN102">
    <cfRule type="cellIs" dxfId="117" priority="73" operator="lessThan">
      <formula>0</formula>
    </cfRule>
  </conditionalFormatting>
  <conditionalFormatting sqref="CM109:CN109">
    <cfRule type="cellIs" dxfId="116" priority="85" operator="greaterThan">
      <formula>0</formula>
    </cfRule>
  </conditionalFormatting>
  <conditionalFormatting sqref="CP3:CQ54">
    <cfRule type="cellIs" dxfId="115" priority="2" operator="greaterThan">
      <formula>0</formula>
    </cfRule>
    <cfRule type="cellIs" dxfId="114" priority="1" operator="lessThan">
      <formula>0</formula>
    </cfRule>
  </conditionalFormatting>
  <conditionalFormatting sqref="CP58:CQ64">
    <cfRule type="cellIs" dxfId="113" priority="63" operator="lessThan">
      <formula>0</formula>
    </cfRule>
    <cfRule type="cellIs" dxfId="112" priority="64" operator="greaterThan">
      <formula>0</formula>
    </cfRule>
  </conditionalFormatting>
  <conditionalFormatting sqref="CP67:CQ71">
    <cfRule type="cellIs" dxfId="111" priority="62" operator="greaterThan">
      <formula>0</formula>
    </cfRule>
    <cfRule type="cellIs" dxfId="110" priority="61" operator="lessThan">
      <formula>0</formula>
    </cfRule>
  </conditionalFormatting>
  <conditionalFormatting sqref="CP74:CQ79">
    <cfRule type="cellIs" dxfId="109" priority="60" operator="greaterThan">
      <formula>0</formula>
    </cfRule>
    <cfRule type="cellIs" dxfId="108" priority="59" operator="lessThan">
      <formula>0</formula>
    </cfRule>
  </conditionalFormatting>
  <conditionalFormatting sqref="CP82:CQ87">
    <cfRule type="cellIs" dxfId="107" priority="50" operator="greaterThan">
      <formula>0</formula>
    </cfRule>
    <cfRule type="cellIs" dxfId="106" priority="49" operator="lessThan">
      <formula>0</formula>
    </cfRule>
  </conditionalFormatting>
  <conditionalFormatting sqref="CP90:CQ95">
    <cfRule type="cellIs" dxfId="105" priority="69" operator="lessThan">
      <formula>0</formula>
    </cfRule>
  </conditionalFormatting>
  <conditionalFormatting sqref="CP98:CQ102">
    <cfRule type="cellIs" dxfId="104" priority="44" operator="lessThan">
      <formula>0</formula>
    </cfRule>
    <cfRule type="cellIs" dxfId="103" priority="68" operator="greaterThan">
      <formula>0</formula>
    </cfRule>
  </conditionalFormatting>
  <conditionalFormatting sqref="CP109:CQ109">
    <cfRule type="cellIs" dxfId="102" priority="67" operator="greaterThan">
      <formula>0</formula>
    </cfRule>
  </conditionalFormatting>
  <conditionalFormatting sqref="CS3:CT54">
    <cfRule type="cellIs" dxfId="101" priority="51" operator="lessThan">
      <formula>0</formula>
    </cfRule>
    <cfRule type="cellIs" dxfId="100" priority="52" operator="greaterThan">
      <formula>0</formula>
    </cfRule>
  </conditionalFormatting>
  <conditionalFormatting sqref="CS58:CT64">
    <cfRule type="cellIs" dxfId="99" priority="58" operator="greaterThan">
      <formula>0</formula>
    </cfRule>
    <cfRule type="cellIs" dxfId="98" priority="57" operator="lessThan">
      <formula>0</formula>
    </cfRule>
  </conditionalFormatting>
  <conditionalFormatting sqref="CS67:CT71">
    <cfRule type="cellIs" dxfId="97" priority="55" operator="lessThan">
      <formula>0</formula>
    </cfRule>
    <cfRule type="cellIs" dxfId="96" priority="56" operator="greaterThan">
      <formula>0</formula>
    </cfRule>
  </conditionalFormatting>
  <conditionalFormatting sqref="CS74:CT79">
    <cfRule type="cellIs" dxfId="95" priority="53" operator="lessThan">
      <formula>0</formula>
    </cfRule>
    <cfRule type="cellIs" dxfId="94" priority="54" operator="greaterThan">
      <formula>0</formula>
    </cfRule>
  </conditionalFormatting>
  <conditionalFormatting sqref="CS82:CT87">
    <cfRule type="cellIs" dxfId="93" priority="47" operator="lessThan">
      <formula>0</formula>
    </cfRule>
    <cfRule type="cellIs" dxfId="92" priority="48" operator="greaterThan">
      <formula>0</formula>
    </cfRule>
  </conditionalFormatting>
  <conditionalFormatting sqref="CS90:CT95">
    <cfRule type="cellIs" dxfId="91" priority="66" operator="greaterThan">
      <formula>0</formula>
    </cfRule>
  </conditionalFormatting>
  <conditionalFormatting sqref="CS98:CT102">
    <cfRule type="cellIs" dxfId="90" priority="43" operator="lessThan">
      <formula>0</formula>
    </cfRule>
  </conditionalFormatting>
  <conditionalFormatting sqref="CS109:CT109">
    <cfRule type="cellIs" dxfId="89" priority="65" operator="greaterThan">
      <formula>0</formula>
    </cfRule>
  </conditionalFormatting>
  <conditionalFormatting sqref="CV3:CW54">
    <cfRule type="cellIs" dxfId="88" priority="33" operator="lessThan">
      <formula>0</formula>
    </cfRule>
    <cfRule type="cellIs" dxfId="87" priority="34" operator="greaterThan">
      <formula>0</formula>
    </cfRule>
  </conditionalFormatting>
  <conditionalFormatting sqref="CV58:CW64">
    <cfRule type="cellIs" dxfId="86" priority="14" operator="greaterThan">
      <formula>0</formula>
    </cfRule>
    <cfRule type="cellIs" dxfId="85" priority="13" operator="lessThan">
      <formula>0</formula>
    </cfRule>
  </conditionalFormatting>
  <conditionalFormatting sqref="CV67:CW71">
    <cfRule type="cellIs" dxfId="84" priority="37" operator="lessThan">
      <formula>0</formula>
    </cfRule>
    <cfRule type="cellIs" dxfId="83" priority="38" operator="greaterThan">
      <formula>0</formula>
    </cfRule>
  </conditionalFormatting>
  <conditionalFormatting sqref="CV74:CW79">
    <cfRule type="cellIs" dxfId="82" priority="35" operator="lessThan">
      <formula>0</formula>
    </cfRule>
    <cfRule type="cellIs" dxfId="81" priority="36" operator="greaterThan">
      <formula>0</formula>
    </cfRule>
  </conditionalFormatting>
  <conditionalFormatting sqref="CV82:CW87">
    <cfRule type="cellIs" dxfId="80" priority="32" operator="greaterThan">
      <formula>0</formula>
    </cfRule>
    <cfRule type="cellIs" dxfId="79" priority="31" operator="lessThan">
      <formula>0</formula>
    </cfRule>
  </conditionalFormatting>
  <conditionalFormatting sqref="CV90:CW95">
    <cfRule type="cellIs" dxfId="78" priority="42" operator="greaterThan">
      <formula>0</formula>
    </cfRule>
  </conditionalFormatting>
  <conditionalFormatting sqref="CV98:CW102">
    <cfRule type="cellIs" dxfId="77" priority="29" operator="lessThan">
      <formula>0</formula>
    </cfRule>
  </conditionalFormatting>
  <conditionalFormatting sqref="CV109:CW109">
    <cfRule type="cellIs" dxfId="76" priority="41" operator="greaterThan">
      <formula>0</formula>
    </cfRule>
  </conditionalFormatting>
  <conditionalFormatting sqref="CY3:CZ54">
    <cfRule type="cellIs" dxfId="75" priority="19" operator="lessThan">
      <formula>0</formula>
    </cfRule>
    <cfRule type="cellIs" dxfId="74" priority="20" operator="greaterThan">
      <formula>0</formula>
    </cfRule>
  </conditionalFormatting>
  <conditionalFormatting sqref="CY58:CZ64">
    <cfRule type="cellIs" dxfId="73" priority="26" operator="greaterThan">
      <formula>0</formula>
    </cfRule>
    <cfRule type="cellIs" dxfId="72" priority="25" operator="lessThan">
      <formula>0</formula>
    </cfRule>
  </conditionalFormatting>
  <conditionalFormatting sqref="CY67:CZ71">
    <cfRule type="cellIs" dxfId="71" priority="24" operator="greaterThan">
      <formula>0</formula>
    </cfRule>
    <cfRule type="cellIs" dxfId="70" priority="23" operator="lessThan">
      <formula>0</formula>
    </cfRule>
  </conditionalFormatting>
  <conditionalFormatting sqref="CY74:CZ79">
    <cfRule type="cellIs" dxfId="69" priority="22" operator="greaterThan">
      <formula>0</formula>
    </cfRule>
    <cfRule type="cellIs" dxfId="68" priority="21" operator="lessThan">
      <formula>0</formula>
    </cfRule>
  </conditionalFormatting>
  <conditionalFormatting sqref="CY82:CZ87">
    <cfRule type="cellIs" dxfId="67" priority="18" operator="greaterThan">
      <formula>0</formula>
    </cfRule>
    <cfRule type="cellIs" dxfId="66" priority="17" operator="lessThan">
      <formula>0</formula>
    </cfRule>
  </conditionalFormatting>
  <conditionalFormatting sqref="CY90:CZ95">
    <cfRule type="cellIs" dxfId="65" priority="28" operator="greaterThan">
      <formula>0</formula>
    </cfRule>
  </conditionalFormatting>
  <conditionalFormatting sqref="CY98:CZ102">
    <cfRule type="cellIs" dxfId="64" priority="15" operator="lessThan">
      <formula>0</formula>
    </cfRule>
  </conditionalFormatting>
  <conditionalFormatting sqref="CY109:CZ109">
    <cfRule type="cellIs" dxfId="63" priority="27" operator="greaterThan">
      <formula>0</formula>
    </cfRule>
  </conditionalFormatting>
  <pageMargins left="0.25" right="0.25" top="0.75" bottom="0.75" header="0.3" footer="0.3"/>
  <pageSetup paperSize="9" scale="58" fitToHeight="0" orientation="landscape" r:id="rId1"/>
  <colBreaks count="1" manualBreakCount="1">
    <brk id="44" max="51" man="1"/>
  </colBreaks>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000203-96B7-4D35-A6F5-EA182AAF79F5}">
  <sheetPr>
    <tabColor theme="8"/>
  </sheetPr>
  <dimension ref="A1"/>
  <sheetViews>
    <sheetView workbookViewId="0">
      <selection activeCell="E19" sqref="E19"/>
    </sheetView>
  </sheetViews>
  <sheetFormatPr defaultRowHeight="17.399999999999999"/>
  <sheetData/>
  <phoneticPr fontId="3"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47194F-556C-41CF-8056-3597F5716320}">
  <sheetPr>
    <pageSetUpPr fitToPage="1"/>
  </sheetPr>
  <dimension ref="A1:AC118"/>
  <sheetViews>
    <sheetView showGridLines="0" view="pageBreakPreview" zoomScale="115" zoomScaleNormal="115" zoomScaleSheetLayoutView="115" workbookViewId="0">
      <pane xSplit="3" ySplit="3" topLeftCell="D88" activePane="bottomRight" state="frozen"/>
      <selection pane="topRight" activeCell="C1" sqref="C1"/>
      <selection pane="bottomLeft" activeCell="A4" sqref="A4"/>
      <selection pane="bottomRight" activeCell="D8" sqref="D8"/>
    </sheetView>
  </sheetViews>
  <sheetFormatPr defaultColWidth="7.59765625" defaultRowHeight="16.95" customHeight="1"/>
  <cols>
    <col min="1" max="1" width="3.19921875" style="141" customWidth="1"/>
    <col min="2" max="2" width="14.5" style="93" customWidth="1"/>
    <col min="3" max="3" width="24.09765625" style="93" customWidth="1"/>
    <col min="4" max="5" width="9.19921875" style="274" customWidth="1"/>
    <col min="6" max="6" width="7" style="274" bestFit="1" customWidth="1"/>
    <col min="7" max="7" width="9.19921875" style="274" customWidth="1"/>
    <col min="8" max="8" width="7.3984375" style="274" customWidth="1"/>
    <col min="9" max="11" width="7.59765625" style="8"/>
    <col min="12" max="12" width="12.09765625" style="8" customWidth="1"/>
    <col min="13" max="16384" width="7.59765625" style="8"/>
  </cols>
  <sheetData>
    <row r="1" spans="1:29" ht="16.2" customHeight="1">
      <c r="A1" s="142"/>
      <c r="B1" s="31" t="s">
        <v>193</v>
      </c>
      <c r="C1" s="35"/>
      <c r="D1" s="322"/>
      <c r="E1" s="322"/>
      <c r="G1" s="322"/>
      <c r="I1" s="104"/>
      <c r="L1" s="104"/>
      <c r="N1" s="104"/>
      <c r="Q1" s="104"/>
      <c r="T1" s="104"/>
      <c r="W1" s="104"/>
      <c r="Z1" s="33"/>
    </row>
    <row r="2" spans="1:29" s="36" customFormat="1" ht="16.2" customHeight="1">
      <c r="A2" s="141"/>
      <c r="B2" s="31" t="s">
        <v>194</v>
      </c>
      <c r="C2" s="32"/>
      <c r="D2" s="8"/>
      <c r="E2" s="8" t="s">
        <v>315</v>
      </c>
      <c r="F2" s="323"/>
      <c r="G2" s="8"/>
      <c r="H2" s="323"/>
      <c r="L2" s="105"/>
      <c r="N2" s="105"/>
    </row>
    <row r="3" spans="1:29" s="14" customFormat="1" ht="16.2" customHeight="1">
      <c r="A3" s="141"/>
      <c r="B3" s="166" t="str">
        <f>Q_IS!B3</f>
        <v>(단위 : 십억원)</v>
      </c>
      <c r="C3" s="166" t="str">
        <f>Q_IS!C3</f>
        <v>(Unit: Billion KRW)</v>
      </c>
      <c r="D3" s="325">
        <v>2023</v>
      </c>
      <c r="E3" s="325">
        <v>2024</v>
      </c>
      <c r="F3" s="326" t="s">
        <v>2</v>
      </c>
      <c r="G3" s="325">
        <v>2025</v>
      </c>
      <c r="H3" s="326" t="s">
        <v>2</v>
      </c>
      <c r="I3" s="9"/>
      <c r="J3" s="9"/>
      <c r="K3" s="9"/>
      <c r="L3" s="9"/>
      <c r="M3" s="9"/>
      <c r="N3" s="9"/>
      <c r="O3" s="9"/>
      <c r="P3" s="9"/>
      <c r="Q3" s="9"/>
      <c r="R3" s="9"/>
      <c r="S3" s="9"/>
      <c r="T3" s="9"/>
      <c r="U3" s="9"/>
      <c r="V3" s="9"/>
      <c r="W3" s="9"/>
      <c r="X3" s="9"/>
      <c r="Y3" s="9"/>
      <c r="Z3" s="35"/>
      <c r="AA3" s="9"/>
      <c r="AB3" s="9"/>
      <c r="AC3" s="9"/>
    </row>
    <row r="4" spans="1:29" s="41" customFormat="1" ht="16.2" customHeight="1">
      <c r="A4" s="141"/>
      <c r="B4" s="38" t="str">
        <f>Q_IS!B4</f>
        <v>매출</v>
      </c>
      <c r="C4" s="39" t="str">
        <f>Q_IS!C4</f>
        <v>Revenue</v>
      </c>
      <c r="D4" s="327">
        <v>180.12299999999999</v>
      </c>
      <c r="E4" s="327">
        <v>242.93783225300001</v>
      </c>
      <c r="F4" s="976">
        <f>E4/D4-1</f>
        <v>0.34873298941834197</v>
      </c>
      <c r="G4" s="327">
        <f>C_IS!G4</f>
        <v>336.81900000000002</v>
      </c>
      <c r="H4" s="976">
        <f>G4/E4-1</f>
        <v>0.38644111901529765</v>
      </c>
      <c r="I4" s="106"/>
      <c r="J4" s="43"/>
      <c r="K4" s="43"/>
      <c r="L4" s="106"/>
      <c r="M4" s="43"/>
      <c r="N4" s="106"/>
      <c r="O4" s="43"/>
      <c r="P4" s="43"/>
      <c r="Q4" s="106"/>
      <c r="R4" s="43"/>
      <c r="S4" s="43"/>
      <c r="T4" s="106"/>
      <c r="U4" s="43"/>
      <c r="V4" s="43"/>
      <c r="W4" s="106"/>
      <c r="X4" s="43"/>
      <c r="Y4" s="43"/>
      <c r="Z4" s="40"/>
      <c r="AB4" s="42"/>
      <c r="AC4" s="43"/>
    </row>
    <row r="5" spans="1:29" s="49" customFormat="1" ht="16.2" customHeight="1">
      <c r="A5" s="141"/>
      <c r="B5" s="44" t="str">
        <f>Q_IS!B5</f>
        <v>매출원가</v>
      </c>
      <c r="C5" s="45" t="str">
        <f>Q_IS!C5</f>
        <v>COGS</v>
      </c>
      <c r="D5" s="328">
        <v>-39.674000000000007</v>
      </c>
      <c r="E5" s="328">
        <v>-51.811629616000005</v>
      </c>
      <c r="F5" s="977">
        <f>E5/D5-1</f>
        <v>0.30593410334223914</v>
      </c>
      <c r="G5" s="328">
        <f>C_IS!G5</f>
        <v>-75.727000000000004</v>
      </c>
      <c r="H5" s="977">
        <f>G5/E5-1</f>
        <v>0.46158305695551149</v>
      </c>
      <c r="I5" s="107"/>
      <c r="J5" s="46"/>
      <c r="K5" s="46"/>
      <c r="L5" s="107"/>
      <c r="M5" s="46"/>
      <c r="N5" s="107"/>
      <c r="O5" s="46"/>
      <c r="P5" s="46"/>
      <c r="Q5" s="107"/>
      <c r="R5" s="46"/>
      <c r="S5" s="46"/>
      <c r="T5" s="107"/>
      <c r="U5" s="46"/>
      <c r="V5" s="46"/>
      <c r="W5" s="107"/>
      <c r="X5" s="46"/>
      <c r="Y5" s="46"/>
      <c r="Z5" s="47"/>
      <c r="AA5" s="47"/>
      <c r="AB5" s="48"/>
      <c r="AC5" s="46"/>
    </row>
    <row r="6" spans="1:29" s="49" customFormat="1" ht="16.2" customHeight="1">
      <c r="A6" s="141"/>
      <c r="B6" s="50" t="str">
        <f>Q_IS!B6</f>
        <v>(%)</v>
      </c>
      <c r="C6" s="51" t="str">
        <f>Q_IS!C6</f>
        <v>(%)</v>
      </c>
      <c r="D6" s="329">
        <v>0.22026059970131526</v>
      </c>
      <c r="E6" s="329">
        <v>0.21327114486656984</v>
      </c>
      <c r="F6" s="977"/>
      <c r="G6" s="329">
        <f>C_IS!G6</f>
        <v>0.22482995317960092</v>
      </c>
      <c r="H6" s="977"/>
      <c r="I6" s="108"/>
      <c r="J6" s="46"/>
      <c r="K6" s="46"/>
      <c r="L6" s="108"/>
      <c r="M6" s="46"/>
      <c r="N6" s="108"/>
      <c r="O6" s="46"/>
      <c r="P6" s="46"/>
      <c r="Q6" s="108"/>
      <c r="R6" s="46"/>
      <c r="S6" s="46"/>
      <c r="T6" s="108"/>
      <c r="U6" s="46"/>
      <c r="V6" s="46"/>
      <c r="W6" s="108"/>
      <c r="X6" s="46"/>
      <c r="Y6" s="46"/>
      <c r="Z6" s="47"/>
      <c r="AA6" s="47"/>
      <c r="AB6" s="48"/>
      <c r="AC6" s="46"/>
    </row>
    <row r="7" spans="1:29" s="14" customFormat="1" ht="16.2" customHeight="1">
      <c r="A7" s="141"/>
      <c r="B7" s="52" t="str">
        <f>Q_IS!B7</f>
        <v>매출총이익</v>
      </c>
      <c r="C7" s="53" t="str">
        <f>Q_IS!C7</f>
        <v>Gross Profit</v>
      </c>
      <c r="D7" s="330">
        <v>140.44900000000001</v>
      </c>
      <c r="E7" s="330">
        <v>191.12620263700001</v>
      </c>
      <c r="F7" s="976">
        <f>E7/D7-1</f>
        <v>0.36082280854260262</v>
      </c>
      <c r="G7" s="330">
        <f>C_IS!G7</f>
        <v>261.09199999999998</v>
      </c>
      <c r="H7" s="976">
        <f>G7/E7-1</f>
        <v>0.36607119483184536</v>
      </c>
      <c r="I7" s="109"/>
      <c r="J7" s="43"/>
      <c r="K7" s="43"/>
      <c r="L7" s="109"/>
      <c r="M7" s="43"/>
      <c r="N7" s="109"/>
      <c r="O7" s="43"/>
      <c r="P7" s="43"/>
      <c r="Q7" s="109"/>
      <c r="R7" s="43"/>
      <c r="S7" s="43"/>
      <c r="T7" s="109"/>
      <c r="U7" s="43"/>
      <c r="V7" s="43"/>
      <c r="W7" s="109"/>
      <c r="X7" s="43"/>
      <c r="Y7" s="43"/>
      <c r="Z7" s="54"/>
      <c r="AA7" s="55"/>
      <c r="AB7" s="48"/>
      <c r="AC7" s="43"/>
    </row>
    <row r="8" spans="1:29" s="59" customFormat="1" ht="16.2" customHeight="1">
      <c r="A8" s="141"/>
      <c r="B8" s="168" t="str">
        <f>Q_IS!B8</f>
        <v>(%)</v>
      </c>
      <c r="C8" s="169" t="str">
        <f>Q_IS!C8</f>
        <v>(%)</v>
      </c>
      <c r="D8" s="331">
        <v>0.77973940029868494</v>
      </c>
      <c r="E8" s="331">
        <v>0.78672885513343016</v>
      </c>
      <c r="F8" s="332"/>
      <c r="G8" s="331">
        <f>C_IS!G8</f>
        <v>0.77517004682039903</v>
      </c>
      <c r="H8" s="332"/>
      <c r="I8" s="111"/>
      <c r="J8" s="110"/>
      <c r="K8" s="110"/>
      <c r="L8" s="111"/>
      <c r="M8" s="110"/>
      <c r="N8" s="111"/>
      <c r="O8" s="110"/>
      <c r="P8" s="110"/>
      <c r="Q8" s="111"/>
      <c r="R8" s="110"/>
      <c r="S8" s="110"/>
      <c r="T8" s="111"/>
      <c r="U8" s="110"/>
      <c r="V8" s="110"/>
      <c r="W8" s="111"/>
      <c r="X8" s="110"/>
      <c r="Y8" s="110"/>
      <c r="Z8" s="56"/>
      <c r="AA8" s="57"/>
      <c r="AB8" s="48"/>
      <c r="AC8" s="58"/>
    </row>
    <row r="9" spans="1:29" s="62" customFormat="1" ht="16.2" customHeight="1">
      <c r="A9" s="141"/>
      <c r="B9" s="60" t="str">
        <f>Q_IS!B9</f>
        <v>판관비</v>
      </c>
      <c r="C9" s="61" t="str">
        <f>Q_IS!C9</f>
        <v>SG&amp;A</v>
      </c>
      <c r="D9" s="333">
        <v>-50.826000000000001</v>
      </c>
      <c r="E9" s="333">
        <v>-68.684887671000013</v>
      </c>
      <c r="F9" s="977">
        <f>E9/D9-1</f>
        <v>0.35137307029866638</v>
      </c>
      <c r="G9" s="333">
        <f>C_IS!G9</f>
        <v>-90.490999999999985</v>
      </c>
      <c r="H9" s="977">
        <f>G9/E9-1</f>
        <v>0.31748049779816268</v>
      </c>
      <c r="I9" s="112"/>
      <c r="J9" s="46"/>
      <c r="K9" s="46"/>
      <c r="L9" s="112"/>
      <c r="M9" s="46"/>
      <c r="N9" s="112"/>
      <c r="O9" s="46"/>
      <c r="P9" s="46"/>
      <c r="Q9" s="112"/>
      <c r="R9" s="46"/>
      <c r="S9" s="46"/>
      <c r="T9" s="112"/>
      <c r="U9" s="46"/>
      <c r="V9" s="46"/>
      <c r="W9" s="112"/>
      <c r="X9" s="46"/>
      <c r="Y9" s="46"/>
      <c r="Z9" s="47"/>
      <c r="AA9" s="47"/>
      <c r="AB9" s="42"/>
      <c r="AC9" s="46"/>
    </row>
    <row r="10" spans="1:29" s="62" customFormat="1" ht="16.2" customHeight="1">
      <c r="A10" s="141"/>
      <c r="B10" s="50" t="str">
        <f>Q_IS!B10</f>
        <v>(%)</v>
      </c>
      <c r="C10" s="51" t="str">
        <f>Q_IS!C10</f>
        <v>(%)</v>
      </c>
      <c r="D10" s="329">
        <v>0.28217384787062177</v>
      </c>
      <c r="E10" s="329">
        <v>0.28272618979933223</v>
      </c>
      <c r="F10" s="977"/>
      <c r="G10" s="329">
        <f>C_IS!G10</f>
        <v>0.2686635848927762</v>
      </c>
      <c r="H10" s="977"/>
      <c r="I10" s="108"/>
      <c r="J10" s="46"/>
      <c r="K10" s="46"/>
      <c r="L10" s="108"/>
      <c r="M10" s="46"/>
      <c r="N10" s="108"/>
      <c r="O10" s="46"/>
      <c r="P10" s="46"/>
      <c r="Q10" s="108"/>
      <c r="R10" s="46"/>
      <c r="S10" s="46"/>
      <c r="T10" s="108"/>
      <c r="U10" s="46"/>
      <c r="V10" s="46"/>
      <c r="W10" s="108"/>
      <c r="X10" s="46"/>
      <c r="Y10" s="46"/>
      <c r="Z10" s="47"/>
      <c r="AA10" s="47"/>
      <c r="AB10" s="42"/>
      <c r="AC10" s="46"/>
    </row>
    <row r="11" spans="1:29" s="41" customFormat="1" ht="16.2" customHeight="1">
      <c r="A11" s="141"/>
      <c r="B11" s="38" t="str">
        <f>Q_IS!B11</f>
        <v>영업이익</v>
      </c>
      <c r="C11" s="39" t="str">
        <f>Q_IS!C11</f>
        <v>Operating Profit</v>
      </c>
      <c r="D11" s="327">
        <v>89.623000000000005</v>
      </c>
      <c r="E11" s="327">
        <v>122.44131496599999</v>
      </c>
      <c r="F11" s="976">
        <f>E11/D11-1</f>
        <v>0.36618183910380142</v>
      </c>
      <c r="G11" s="327">
        <f>C_IS!G11</f>
        <v>170.601</v>
      </c>
      <c r="H11" s="976">
        <f>G11/E11-1</f>
        <v>0.39332871463666641</v>
      </c>
      <c r="I11" s="106"/>
      <c r="J11" s="43"/>
      <c r="K11" s="43"/>
      <c r="L11" s="106"/>
      <c r="M11" s="43"/>
      <c r="N11" s="106"/>
      <c r="O11" s="43"/>
      <c r="P11" s="43"/>
      <c r="Q11" s="106"/>
      <c r="R11" s="43"/>
      <c r="S11" s="43"/>
      <c r="T11" s="106"/>
      <c r="U11" s="43"/>
      <c r="V11" s="43"/>
      <c r="W11" s="106"/>
      <c r="X11" s="43"/>
      <c r="Y11" s="43"/>
      <c r="Z11" s="40"/>
      <c r="AB11" s="48"/>
      <c r="AC11" s="43"/>
    </row>
    <row r="12" spans="1:29" s="41" customFormat="1" ht="16.2" customHeight="1">
      <c r="A12" s="141"/>
      <c r="B12" s="168" t="str">
        <f>Q_IS!B12</f>
        <v>(%)</v>
      </c>
      <c r="C12" s="169" t="str">
        <f>Q_IS!C12</f>
        <v>(%)</v>
      </c>
      <c r="D12" s="331">
        <v>0.49756555242806311</v>
      </c>
      <c r="E12" s="331">
        <v>0.50400266533409799</v>
      </c>
      <c r="F12" s="332"/>
      <c r="G12" s="331">
        <f>C_IS!G12</f>
        <v>0.50650646192762283</v>
      </c>
      <c r="H12" s="332"/>
      <c r="I12" s="111"/>
      <c r="J12" s="110"/>
      <c r="K12" s="110"/>
      <c r="L12" s="111"/>
      <c r="M12" s="110"/>
      <c r="N12" s="111"/>
      <c r="O12" s="110"/>
      <c r="P12" s="110"/>
      <c r="Q12" s="111"/>
      <c r="R12" s="110"/>
      <c r="S12" s="110"/>
      <c r="T12" s="111"/>
      <c r="U12" s="110"/>
      <c r="V12" s="110"/>
      <c r="W12" s="111"/>
      <c r="X12" s="110"/>
      <c r="Y12" s="110"/>
      <c r="Z12" s="40"/>
      <c r="AB12" s="48"/>
      <c r="AC12" s="43"/>
    </row>
    <row r="13" spans="1:29" s="404" customFormat="1" ht="16.2" customHeight="1">
      <c r="A13" s="141"/>
      <c r="B13" s="381" t="str">
        <f>Q_IS!B13</f>
        <v>금융수익</v>
      </c>
      <c r="C13" s="382" t="str">
        <f>Q_IS!C13</f>
        <v>Financial  Income</v>
      </c>
      <c r="D13" s="400">
        <v>8.6590000000000007</v>
      </c>
      <c r="E13" s="400">
        <v>24.212613421</v>
      </c>
      <c r="F13" s="978">
        <f t="shared" ref="F13:F19" si="0">E13/D13-1</f>
        <v>1.7962366810255226</v>
      </c>
      <c r="G13" s="400">
        <f>C_IS!G13</f>
        <v>10.070705</v>
      </c>
      <c r="H13" s="978">
        <f t="shared" ref="H13:H19" si="1">G13/E13-1</f>
        <v>-0.58407195353536223</v>
      </c>
      <c r="I13" s="402"/>
      <c r="J13" s="403"/>
      <c r="K13" s="403"/>
      <c r="L13" s="402"/>
      <c r="M13" s="403"/>
      <c r="N13" s="402"/>
      <c r="O13" s="403"/>
      <c r="P13" s="403"/>
      <c r="Q13" s="402"/>
      <c r="R13" s="403"/>
      <c r="S13" s="403"/>
      <c r="T13" s="402"/>
      <c r="U13" s="403"/>
      <c r="V13" s="403"/>
      <c r="W13" s="402"/>
      <c r="X13" s="403"/>
      <c r="Y13" s="403"/>
      <c r="Z13" s="398"/>
      <c r="AA13" s="398"/>
      <c r="AB13" s="397"/>
      <c r="AC13" s="403"/>
    </row>
    <row r="14" spans="1:29" s="404" customFormat="1" ht="16.2" customHeight="1">
      <c r="A14" s="141"/>
      <c r="B14" s="381" t="str">
        <f>Q_IS!B14</f>
        <v>금융비용</v>
      </c>
      <c r="C14" s="382" t="str">
        <f>Q_IS!C14</f>
        <v>Financial Expenses</v>
      </c>
      <c r="D14" s="401">
        <v>-3.593</v>
      </c>
      <c r="E14" s="401">
        <v>-5.6831994640000003</v>
      </c>
      <c r="F14" s="978">
        <f t="shared" si="0"/>
        <v>0.58174212747008092</v>
      </c>
      <c r="G14" s="401">
        <f>C_IS!G14</f>
        <v>-10.870995000000001</v>
      </c>
      <c r="H14" s="978">
        <f t="shared" si="1"/>
        <v>0.9128301001683794</v>
      </c>
      <c r="I14" s="402"/>
      <c r="J14" s="403"/>
      <c r="K14" s="403"/>
      <c r="L14" s="402"/>
      <c r="M14" s="403"/>
      <c r="N14" s="402"/>
      <c r="O14" s="403"/>
      <c r="P14" s="403"/>
      <c r="Q14" s="402"/>
      <c r="R14" s="403"/>
      <c r="S14" s="403"/>
      <c r="T14" s="402"/>
      <c r="U14" s="403"/>
      <c r="V14" s="403"/>
      <c r="W14" s="402"/>
      <c r="X14" s="403"/>
      <c r="Y14" s="403"/>
      <c r="Z14" s="398"/>
      <c r="AA14" s="398"/>
      <c r="AB14" s="397"/>
      <c r="AC14" s="403"/>
    </row>
    <row r="15" spans="1:29" s="404" customFormat="1" ht="16.2" customHeight="1">
      <c r="A15" s="141"/>
      <c r="B15" s="381" t="str">
        <f>Q_IS!B15</f>
        <v>기타수익</v>
      </c>
      <c r="C15" s="382" t="str">
        <f>Q_IS!C15</f>
        <v>Other Income</v>
      </c>
      <c r="D15" s="400">
        <v>4.8429602000000002E-2</v>
      </c>
      <c r="E15" s="400">
        <v>2.8089658E-2</v>
      </c>
      <c r="F15" s="978">
        <f t="shared" si="0"/>
        <v>-0.41998990617350107</v>
      </c>
      <c r="G15" s="400">
        <f>C_IS!G15</f>
        <v>0.38908599999999999</v>
      </c>
      <c r="H15" s="978">
        <f t="shared" si="1"/>
        <v>12.851574839394626</v>
      </c>
      <c r="I15" s="402"/>
      <c r="J15" s="403"/>
      <c r="K15" s="403"/>
      <c r="L15" s="402"/>
      <c r="M15" s="403"/>
      <c r="N15" s="402"/>
      <c r="O15" s="403"/>
      <c r="P15" s="403"/>
      <c r="Q15" s="402"/>
      <c r="R15" s="403"/>
      <c r="S15" s="403"/>
      <c r="T15" s="402"/>
      <c r="U15" s="403"/>
      <c r="V15" s="403"/>
      <c r="W15" s="402"/>
      <c r="X15" s="403"/>
      <c r="Y15" s="403"/>
      <c r="Z15" s="398"/>
      <c r="AA15" s="398"/>
      <c r="AB15" s="397"/>
      <c r="AC15" s="403"/>
    </row>
    <row r="16" spans="1:29" s="404" customFormat="1" ht="16.2" customHeight="1">
      <c r="A16" s="141"/>
      <c r="B16" s="381" t="str">
        <f>Q_IS!B16</f>
        <v>기타비용</v>
      </c>
      <c r="C16" s="382" t="str">
        <f>Q_IS!C16</f>
        <v>Other Expenses</v>
      </c>
      <c r="D16" s="401">
        <v>-0.89400000000000002</v>
      </c>
      <c r="E16" s="401">
        <v>-12.002659199</v>
      </c>
      <c r="F16" s="978">
        <f t="shared" si="0"/>
        <v>12.425793287472036</v>
      </c>
      <c r="G16" s="401">
        <f>C_IS!G16</f>
        <v>-1.5568499999999998</v>
      </c>
      <c r="H16" s="978">
        <f t="shared" si="1"/>
        <v>-0.87029124344964248</v>
      </c>
      <c r="I16" s="402"/>
      <c r="J16" s="403"/>
      <c r="K16" s="403"/>
      <c r="L16" s="402"/>
      <c r="M16" s="403"/>
      <c r="N16" s="402"/>
      <c r="O16" s="403"/>
      <c r="P16" s="403"/>
      <c r="Q16" s="402"/>
      <c r="R16" s="403"/>
      <c r="S16" s="403"/>
      <c r="T16" s="402"/>
      <c r="U16" s="403"/>
      <c r="V16" s="403"/>
      <c r="W16" s="402"/>
      <c r="X16" s="403"/>
      <c r="Y16" s="403"/>
      <c r="Z16" s="398"/>
      <c r="AA16" s="398"/>
      <c r="AB16" s="397"/>
      <c r="AC16" s="403"/>
    </row>
    <row r="17" spans="1:29" s="380" customFormat="1" ht="16.2" customHeight="1">
      <c r="A17" s="141"/>
      <c r="B17" s="405" t="str">
        <f>Q_IS!B17</f>
        <v>법인세차감전
순이익</v>
      </c>
      <c r="C17" s="385" t="str">
        <f>Q_IS!C17</f>
        <v>Earnings Before Tax</v>
      </c>
      <c r="D17" s="406">
        <v>93.843429602000015</v>
      </c>
      <c r="E17" s="406">
        <v>127.925283411</v>
      </c>
      <c r="F17" s="979">
        <f t="shared" si="0"/>
        <v>0.36317783731418118</v>
      </c>
      <c r="G17" s="406">
        <f>C_IS!G17</f>
        <v>168.63294599999998</v>
      </c>
      <c r="H17" s="979">
        <f t="shared" si="1"/>
        <v>0.3182143631311245</v>
      </c>
      <c r="I17" s="402"/>
      <c r="J17" s="399"/>
      <c r="K17" s="399"/>
      <c r="L17" s="402"/>
      <c r="M17" s="399"/>
      <c r="N17" s="402"/>
      <c r="O17" s="399"/>
      <c r="P17" s="399"/>
      <c r="Q17" s="402"/>
      <c r="R17" s="399"/>
      <c r="S17" s="399"/>
      <c r="T17" s="402"/>
      <c r="U17" s="399"/>
      <c r="V17" s="399"/>
      <c r="W17" s="402"/>
      <c r="X17" s="399"/>
      <c r="Y17" s="399"/>
      <c r="Z17" s="396"/>
      <c r="AA17" s="396"/>
      <c r="AB17" s="397"/>
      <c r="AC17" s="399"/>
    </row>
    <row r="18" spans="1:29" s="404" customFormat="1" ht="16.2" customHeight="1">
      <c r="A18" s="141"/>
      <c r="B18" s="381" t="str">
        <f>Q_IS!B18</f>
        <v>법인세비용</v>
      </c>
      <c r="C18" s="382" t="str">
        <f>Q_IS!C18</f>
        <v>Tax Expenses</v>
      </c>
      <c r="D18" s="401">
        <v>-19.616000000000003</v>
      </c>
      <c r="E18" s="401">
        <v>-30.387291503000007</v>
      </c>
      <c r="F18" s="978">
        <f t="shared" si="0"/>
        <v>0.54910743795880923</v>
      </c>
      <c r="G18" s="401">
        <f>C_IS!G18</f>
        <v>-36.723945999999998</v>
      </c>
      <c r="H18" s="978">
        <f t="shared" si="1"/>
        <v>0.20852975647317562</v>
      </c>
      <c r="I18" s="402"/>
      <c r="J18" s="403"/>
      <c r="K18" s="403"/>
      <c r="L18" s="402"/>
      <c r="M18" s="403"/>
      <c r="N18" s="402"/>
      <c r="O18" s="403"/>
      <c r="P18" s="403"/>
      <c r="Q18" s="402"/>
      <c r="R18" s="403"/>
      <c r="S18" s="403"/>
      <c r="T18" s="402"/>
      <c r="U18" s="403"/>
      <c r="V18" s="403"/>
      <c r="W18" s="402"/>
      <c r="X18" s="403"/>
      <c r="Y18" s="403"/>
      <c r="Z18" s="398"/>
      <c r="AA18" s="398"/>
      <c r="AB18" s="397"/>
      <c r="AC18" s="403"/>
    </row>
    <row r="19" spans="1:29" s="14" customFormat="1" ht="16.2" customHeight="1">
      <c r="A19" s="141"/>
      <c r="B19" s="52" t="str">
        <f>Q_IS!B19</f>
        <v>지배주주 순이익</v>
      </c>
      <c r="C19" s="53" t="str">
        <f>Q_IS!C19</f>
        <v>Net Income</v>
      </c>
      <c r="D19" s="330">
        <v>74.250003599999999</v>
      </c>
      <c r="E19" s="330">
        <v>97.960403792999998</v>
      </c>
      <c r="F19" s="976">
        <f t="shared" si="0"/>
        <v>0.3193319736485507</v>
      </c>
      <c r="G19" s="330">
        <f>C_IS!G19</f>
        <v>131.93600000000001</v>
      </c>
      <c r="H19" s="976">
        <f t="shared" si="1"/>
        <v>0.34682989137931486</v>
      </c>
      <c r="I19" s="109"/>
      <c r="J19" s="43"/>
      <c r="K19" s="43"/>
      <c r="L19" s="109"/>
      <c r="M19" s="43"/>
      <c r="N19" s="109"/>
      <c r="O19" s="43"/>
      <c r="P19" s="43"/>
      <c r="Q19" s="109"/>
      <c r="R19" s="43"/>
      <c r="S19" s="43"/>
      <c r="T19" s="109"/>
      <c r="U19" s="43"/>
      <c r="V19" s="43"/>
      <c r="W19" s="109"/>
      <c r="X19" s="43"/>
      <c r="Y19" s="43"/>
      <c r="Z19" s="54"/>
      <c r="AA19" s="55"/>
      <c r="AB19" s="48"/>
      <c r="AC19" s="43"/>
    </row>
    <row r="20" spans="1:29" s="59" customFormat="1" ht="16.2" customHeight="1">
      <c r="A20" s="141"/>
      <c r="B20" s="168" t="str">
        <f>Q_IS!B20</f>
        <v>(%)</v>
      </c>
      <c r="C20" s="169" t="str">
        <f>Q_IS!C20</f>
        <v>(%)</v>
      </c>
      <c r="D20" s="331">
        <v>0.41209301200846099</v>
      </c>
      <c r="E20" s="331">
        <v>0.40149362906318403</v>
      </c>
      <c r="F20" s="332"/>
      <c r="G20" s="331">
        <f>C_IS!G20</f>
        <v>0.39171186898601323</v>
      </c>
      <c r="H20" s="332"/>
      <c r="I20" s="111"/>
      <c r="J20" s="110"/>
      <c r="K20" s="110"/>
      <c r="L20" s="111"/>
      <c r="M20" s="110"/>
      <c r="N20" s="111"/>
      <c r="O20" s="110"/>
      <c r="P20" s="110"/>
      <c r="Q20" s="111"/>
      <c r="R20" s="110"/>
      <c r="S20" s="110"/>
      <c r="T20" s="111"/>
      <c r="U20" s="110"/>
      <c r="V20" s="110"/>
      <c r="W20" s="111"/>
      <c r="X20" s="110"/>
      <c r="Y20" s="110"/>
      <c r="Z20" s="56"/>
      <c r="AA20" s="57"/>
      <c r="AB20" s="48"/>
      <c r="AC20" s="58"/>
    </row>
    <row r="21" spans="1:29" s="404" customFormat="1" ht="16.2" customHeight="1">
      <c r="A21" s="141"/>
      <c r="B21" s="381" t="str">
        <f>Q_IS!B21</f>
        <v>감가상각비</v>
      </c>
      <c r="C21" s="382" t="str">
        <f>Q_IS!C21</f>
        <v>DA</v>
      </c>
      <c r="D21" s="401">
        <v>4.2782049999999998</v>
      </c>
      <c r="E21" s="401">
        <v>7.2174803819999998</v>
      </c>
      <c r="F21" s="978">
        <f>E21/D21-1</f>
        <v>0.68703472180505609</v>
      </c>
      <c r="G21" s="401">
        <f>C_IS!G21</f>
        <v>14.608000000000001</v>
      </c>
      <c r="H21" s="978">
        <f t="shared" ref="H21:H22" si="2">G21/E21-1</f>
        <v>1.0239750199296074</v>
      </c>
      <c r="I21" s="402"/>
      <c r="J21" s="403"/>
      <c r="K21" s="403"/>
      <c r="L21" s="402"/>
      <c r="M21" s="403"/>
      <c r="N21" s="402"/>
      <c r="O21" s="403"/>
      <c r="P21" s="403"/>
      <c r="Q21" s="402"/>
      <c r="R21" s="403"/>
      <c r="S21" s="403"/>
      <c r="T21" s="402"/>
      <c r="U21" s="403"/>
      <c r="V21" s="403"/>
      <c r="W21" s="402"/>
      <c r="X21" s="403"/>
      <c r="Y21" s="403"/>
      <c r="Z21" s="398"/>
      <c r="AA21" s="398"/>
      <c r="AB21" s="397"/>
      <c r="AC21" s="403"/>
    </row>
    <row r="22" spans="1:29" s="41" customFormat="1" ht="16.2" customHeight="1">
      <c r="A22" s="141"/>
      <c r="B22" s="38" t="str">
        <f>Q_IS!B22</f>
        <v>EBITDA</v>
      </c>
      <c r="C22" s="39" t="str">
        <f>Q_IS!C22</f>
        <v>EBITDA</v>
      </c>
      <c r="D22" s="327">
        <v>93.901205000000004</v>
      </c>
      <c r="E22" s="327">
        <v>129.65879534800001</v>
      </c>
      <c r="F22" s="976">
        <f>E22/D22-1</f>
        <v>0.38080012229875004</v>
      </c>
      <c r="G22" s="327">
        <f>C_IS!G22</f>
        <v>185.20899999999997</v>
      </c>
      <c r="H22" s="976">
        <f t="shared" si="2"/>
        <v>0.4284337557117126</v>
      </c>
      <c r="I22" s="106"/>
      <c r="J22" s="43"/>
      <c r="K22" s="43"/>
      <c r="L22" s="106"/>
      <c r="M22" s="43"/>
      <c r="N22" s="106"/>
      <c r="O22" s="43"/>
      <c r="P22" s="43"/>
      <c r="Q22" s="106"/>
      <c r="R22" s="43"/>
      <c r="S22" s="43"/>
      <c r="T22" s="106"/>
      <c r="U22" s="43"/>
      <c r="V22" s="43"/>
      <c r="W22" s="106"/>
      <c r="X22" s="43"/>
      <c r="Y22" s="43"/>
      <c r="Z22" s="40"/>
      <c r="AB22" s="48"/>
      <c r="AC22" s="43"/>
    </row>
    <row r="23" spans="1:29" s="41" customFormat="1" ht="16.2" customHeight="1" thickBot="1">
      <c r="A23" s="141"/>
      <c r="B23" s="172" t="str">
        <f>Q_IS!B23</f>
        <v>(%)</v>
      </c>
      <c r="C23" s="173" t="str">
        <f>Q_IS!C23</f>
        <v>(%)</v>
      </c>
      <c r="D23" s="334">
        <v>0.52131712774048855</v>
      </c>
      <c r="E23" s="334">
        <v>0.53371183131728495</v>
      </c>
      <c r="F23" s="335"/>
      <c r="G23" s="334">
        <f>C_IS!G23</f>
        <v>0.54987693687113837</v>
      </c>
      <c r="H23" s="335"/>
      <c r="I23" s="111"/>
      <c r="J23" s="110"/>
      <c r="K23" s="110"/>
      <c r="L23" s="111"/>
      <c r="M23" s="110"/>
      <c r="N23" s="111"/>
      <c r="O23" s="110"/>
      <c r="P23" s="110"/>
      <c r="Q23" s="111"/>
      <c r="R23" s="110"/>
      <c r="S23" s="110"/>
      <c r="T23" s="111"/>
      <c r="U23" s="110"/>
      <c r="V23" s="110"/>
      <c r="W23" s="111"/>
      <c r="X23" s="110"/>
      <c r="Y23" s="110"/>
      <c r="Z23" s="40"/>
      <c r="AB23" s="48"/>
      <c r="AC23" s="43"/>
    </row>
    <row r="24" spans="1:29" s="65" customFormat="1" ht="16.2" customHeight="1">
      <c r="A24" s="143"/>
      <c r="B24" s="66"/>
      <c r="C24" s="66"/>
      <c r="D24" s="336"/>
      <c r="E24" s="336"/>
      <c r="F24" s="275"/>
      <c r="G24" s="336"/>
      <c r="H24" s="275"/>
      <c r="I24" s="113"/>
      <c r="L24" s="113"/>
      <c r="N24" s="113"/>
      <c r="Q24" s="113"/>
      <c r="T24" s="113"/>
      <c r="W24" s="113"/>
      <c r="Z24" s="49"/>
    </row>
    <row r="25" spans="1:29" ht="16.2" customHeight="1" thickBot="1">
      <c r="A25" s="142"/>
      <c r="B25" s="34" t="s">
        <v>230</v>
      </c>
      <c r="C25" s="35"/>
      <c r="D25" s="337"/>
      <c r="E25" s="337"/>
      <c r="G25" s="337"/>
      <c r="I25" s="114"/>
      <c r="L25" s="114"/>
      <c r="N25" s="114"/>
      <c r="Q25" s="114"/>
      <c r="T25" s="114"/>
      <c r="W25" s="114"/>
      <c r="Z25" s="33"/>
    </row>
    <row r="26" spans="1:29" s="14" customFormat="1" ht="16.2" customHeight="1">
      <c r="A26" s="141"/>
      <c r="B26" s="17" t="str">
        <f>Q_IS!B26</f>
        <v>(단위 : 십억원)</v>
      </c>
      <c r="C26" s="166" t="str">
        <f>Q_IS!C26</f>
        <v>(Unit: Billion KRW)</v>
      </c>
      <c r="D26" s="325">
        <f>D3</f>
        <v>2023</v>
      </c>
      <c r="E26" s="325">
        <v>2024</v>
      </c>
      <c r="F26" s="326" t="s">
        <v>2</v>
      </c>
      <c r="G26" s="325">
        <f>G3</f>
        <v>2025</v>
      </c>
      <c r="H26" s="326" t="str">
        <f t="shared" ref="H26" si="3">H3</f>
        <v>yoy</v>
      </c>
      <c r="I26" s="9"/>
      <c r="J26" s="9"/>
      <c r="K26" s="9"/>
      <c r="L26" s="9"/>
      <c r="M26" s="9"/>
      <c r="N26" s="9"/>
      <c r="O26" s="9"/>
      <c r="P26" s="9"/>
      <c r="Q26" s="9"/>
      <c r="R26" s="9"/>
      <c r="S26" s="9"/>
      <c r="T26" s="9"/>
      <c r="U26" s="9"/>
      <c r="V26" s="9"/>
      <c r="W26" s="9"/>
      <c r="X26" s="9"/>
      <c r="Y26" s="9"/>
      <c r="Z26" s="35"/>
      <c r="AA26" s="9"/>
      <c r="AB26" s="9"/>
      <c r="AC26" s="9"/>
    </row>
    <row r="27" spans="1:29" s="14" customFormat="1" ht="16.2" customHeight="1">
      <c r="A27" s="141"/>
      <c r="B27" s="67" t="str">
        <f>Q_IS!B28</f>
        <v>장비</v>
      </c>
      <c r="C27" s="68" t="str">
        <f>Q_IS!C28</f>
        <v>Device</v>
      </c>
      <c r="D27" s="115">
        <f>D28+D29</f>
        <v>95.075313908353948</v>
      </c>
      <c r="E27" s="115">
        <f>E28+E29</f>
        <v>124.27872867451566</v>
      </c>
      <c r="F27" s="970">
        <f t="shared" ref="F27:F40" si="4">E27/D27-1</f>
        <v>0.30716085559614137</v>
      </c>
      <c r="G27" s="115">
        <f>C_IS!G28</f>
        <v>173.97</v>
      </c>
      <c r="H27" s="970">
        <f t="shared" ref="H27:H39" si="5">G27/E27-1</f>
        <v>0.39983730003889173</v>
      </c>
      <c r="I27" s="116"/>
      <c r="J27" s="43"/>
      <c r="K27" s="43"/>
      <c r="L27" s="116"/>
      <c r="M27" s="43"/>
      <c r="N27" s="116"/>
      <c r="O27" s="43"/>
      <c r="P27" s="43"/>
      <c r="Q27" s="116"/>
      <c r="R27" s="43"/>
      <c r="S27" s="43"/>
      <c r="T27" s="116"/>
      <c r="U27" s="43"/>
      <c r="V27" s="43"/>
      <c r="W27" s="116"/>
      <c r="X27" s="43"/>
      <c r="Y27" s="43"/>
      <c r="Z27" s="54"/>
      <c r="AA27" s="55"/>
      <c r="AB27" s="48"/>
      <c r="AC27" s="43"/>
    </row>
    <row r="28" spans="1:29" s="80" customFormat="1" ht="16.2" customHeight="1">
      <c r="A28" s="141"/>
      <c r="B28" s="74" t="str">
        <f>Q_IS!B29</f>
        <v>수출</v>
      </c>
      <c r="C28" s="75" t="str">
        <f>Q_IS!C29</f>
        <v>Global</v>
      </c>
      <c r="D28" s="339">
        <v>67.927240226999999</v>
      </c>
      <c r="E28" s="339">
        <v>94.899339549000018</v>
      </c>
      <c r="F28" s="969">
        <f t="shared" si="4"/>
        <v>0.39707338663935654</v>
      </c>
      <c r="G28" s="339">
        <f>C_IS!G29</f>
        <v>128.04400000000001</v>
      </c>
      <c r="H28" s="969">
        <f t="shared" si="5"/>
        <v>0.34926123415101529</v>
      </c>
      <c r="I28" s="117"/>
      <c r="J28" s="79"/>
      <c r="K28" s="79"/>
      <c r="L28" s="117"/>
      <c r="M28" s="79"/>
      <c r="N28" s="117"/>
      <c r="O28" s="79"/>
      <c r="P28" s="79"/>
      <c r="Q28" s="117"/>
      <c r="R28" s="79"/>
      <c r="S28" s="79"/>
      <c r="T28" s="117"/>
      <c r="U28" s="79"/>
      <c r="V28" s="79"/>
      <c r="W28" s="117"/>
      <c r="X28" s="79"/>
      <c r="Y28" s="79"/>
      <c r="Z28" s="76"/>
      <c r="AA28" s="77"/>
      <c r="AB28" s="78"/>
      <c r="AC28" s="79"/>
    </row>
    <row r="29" spans="1:29" s="80" customFormat="1" ht="16.2" customHeight="1">
      <c r="A29" s="141"/>
      <c r="B29" s="74" t="str">
        <f>Q_IS!B30</f>
        <v>내수</v>
      </c>
      <c r="C29" s="75" t="str">
        <f>Q_IS!C30</f>
        <v>Korea</v>
      </c>
      <c r="D29" s="339">
        <v>27.148073681353946</v>
      </c>
      <c r="E29" s="339">
        <v>29.379389125515651</v>
      </c>
      <c r="F29" s="969">
        <f t="shared" si="4"/>
        <v>8.2190562407904233E-2</v>
      </c>
      <c r="G29" s="339">
        <f>C_IS!G30</f>
        <v>45.926000000000002</v>
      </c>
      <c r="H29" s="969">
        <f t="shared" si="5"/>
        <v>0.56320472845072933</v>
      </c>
      <c r="I29" s="117"/>
      <c r="K29" s="79"/>
      <c r="L29" s="117"/>
      <c r="M29" s="79"/>
      <c r="N29" s="117"/>
      <c r="O29" s="79"/>
      <c r="P29" s="79"/>
      <c r="Q29" s="117"/>
      <c r="R29" s="79"/>
      <c r="S29" s="79"/>
      <c r="T29" s="117"/>
      <c r="U29" s="79"/>
      <c r="V29" s="79"/>
      <c r="W29" s="117"/>
      <c r="X29" s="79"/>
      <c r="Y29" s="79"/>
      <c r="Z29" s="76"/>
      <c r="AA29" s="77"/>
      <c r="AB29" s="78"/>
      <c r="AC29" s="79"/>
    </row>
    <row r="30" spans="1:29" s="14" customFormat="1" ht="16.2" customHeight="1">
      <c r="A30" s="141"/>
      <c r="B30" s="67" t="str">
        <f>Q_IS!B31</f>
        <v>소모품</v>
      </c>
      <c r="C30" s="68" t="str">
        <f>Q_IS!C31</f>
        <v>Consumable</v>
      </c>
      <c r="D30" s="115">
        <f>D31+D32</f>
        <v>81.042754387000002</v>
      </c>
      <c r="E30" s="115">
        <f>E31+E32</f>
        <v>112.92069065999999</v>
      </c>
      <c r="F30" s="970">
        <f t="shared" si="4"/>
        <v>0.39334714761512979</v>
      </c>
      <c r="G30" s="115">
        <f>C_IS!G31</f>
        <v>154.62299999999999</v>
      </c>
      <c r="H30" s="970">
        <f t="shared" si="5"/>
        <v>0.36930618380261326</v>
      </c>
      <c r="I30" s="116"/>
      <c r="J30" s="43"/>
      <c r="K30" s="43"/>
      <c r="L30" s="116"/>
      <c r="M30" s="43"/>
      <c r="N30" s="116"/>
      <c r="O30" s="43"/>
      <c r="P30" s="43"/>
      <c r="Q30" s="116"/>
      <c r="R30" s="43"/>
      <c r="S30" s="43"/>
      <c r="T30" s="116"/>
      <c r="U30" s="43"/>
      <c r="V30" s="43"/>
      <c r="W30" s="116"/>
      <c r="X30" s="43"/>
      <c r="Y30" s="43"/>
      <c r="Z30" s="54"/>
      <c r="AA30" s="55"/>
      <c r="AB30" s="48"/>
      <c r="AC30" s="43"/>
    </row>
    <row r="31" spans="1:29" s="80" customFormat="1" ht="16.2" customHeight="1">
      <c r="A31" s="141"/>
      <c r="B31" s="74" t="str">
        <f>Q_IS!B32</f>
        <v>수출</v>
      </c>
      <c r="C31" s="75" t="str">
        <f>Q_IS!C32</f>
        <v>Global</v>
      </c>
      <c r="D31" s="339">
        <v>47.778450346000007</v>
      </c>
      <c r="E31" s="339">
        <v>66.958817123999992</v>
      </c>
      <c r="F31" s="969">
        <f t="shared" si="4"/>
        <v>0.40144388608463433</v>
      </c>
      <c r="G31" s="339">
        <f>C_IS!G32</f>
        <v>95.459000000000003</v>
      </c>
      <c r="H31" s="969">
        <f t="shared" si="5"/>
        <v>0.42563749032813658</v>
      </c>
      <c r="I31" s="117"/>
      <c r="J31" s="79"/>
      <c r="K31" s="79"/>
      <c r="L31" s="117"/>
      <c r="M31" s="79"/>
      <c r="N31" s="117"/>
      <c r="O31" s="79"/>
      <c r="P31" s="79"/>
      <c r="Q31" s="117"/>
      <c r="R31" s="79"/>
      <c r="S31" s="79"/>
      <c r="T31" s="117"/>
      <c r="U31" s="79"/>
      <c r="V31" s="79"/>
      <c r="W31" s="117"/>
      <c r="X31" s="79"/>
      <c r="Y31" s="79"/>
      <c r="Z31" s="76"/>
      <c r="AA31" s="77"/>
      <c r="AB31" s="78"/>
      <c r="AC31" s="79"/>
    </row>
    <row r="32" spans="1:29" s="80" customFormat="1" ht="16.2" customHeight="1">
      <c r="A32" s="141"/>
      <c r="B32" s="74" t="str">
        <f>Q_IS!B33</f>
        <v>내수</v>
      </c>
      <c r="C32" s="75" t="str">
        <f>Q_IS!C33</f>
        <v>Korea</v>
      </c>
      <c r="D32" s="339">
        <v>33.264304041000003</v>
      </c>
      <c r="E32" s="339">
        <v>45.961873535999999</v>
      </c>
      <c r="F32" s="969">
        <f t="shared" si="4"/>
        <v>0.38171757567359821</v>
      </c>
      <c r="G32" s="339">
        <f>C_IS!G33</f>
        <v>59.163999999999994</v>
      </c>
      <c r="H32" s="969">
        <f t="shared" si="5"/>
        <v>0.28724082480361313</v>
      </c>
      <c r="I32" s="117"/>
      <c r="J32" s="79"/>
      <c r="K32" s="79"/>
      <c r="L32" s="117"/>
      <c r="M32" s="79"/>
      <c r="N32" s="117"/>
      <c r="O32" s="79"/>
      <c r="P32" s="79"/>
      <c r="Q32" s="117"/>
      <c r="R32" s="79"/>
      <c r="S32" s="79"/>
      <c r="T32" s="117"/>
      <c r="U32" s="79"/>
      <c r="V32" s="79"/>
      <c r="W32" s="117"/>
      <c r="X32" s="79"/>
      <c r="Y32" s="79"/>
      <c r="Z32" s="76"/>
      <c r="AA32" s="77"/>
      <c r="AB32" s="78"/>
      <c r="AC32" s="79"/>
    </row>
    <row r="33" spans="1:29" s="14" customFormat="1" ht="16.2" customHeight="1">
      <c r="A33" s="141"/>
      <c r="B33" s="67" t="str">
        <f>Q_IS!B34</f>
        <v>Homecare</v>
      </c>
      <c r="C33" s="68" t="str">
        <f>Q_IS!C34</f>
        <v>Homecare</v>
      </c>
      <c r="D33" s="115">
        <f>D34+D35</f>
        <v>2.4407768980000002</v>
      </c>
      <c r="E33" s="115">
        <f>E34+E35</f>
        <v>4.7272120039999992</v>
      </c>
      <c r="F33" s="970">
        <f t="shared" si="4"/>
        <v>0.93676530119304613</v>
      </c>
      <c r="G33" s="115">
        <f>C_IS!G34</f>
        <v>7.3030000000000008</v>
      </c>
      <c r="H33" s="970">
        <f t="shared" si="5"/>
        <v>0.54488522914150272</v>
      </c>
      <c r="I33" s="116"/>
      <c r="J33" s="43"/>
      <c r="K33" s="43"/>
      <c r="L33" s="116"/>
      <c r="M33" s="43"/>
      <c r="N33" s="116"/>
      <c r="O33" s="43"/>
      <c r="P33" s="43"/>
      <c r="Q33" s="116"/>
      <c r="R33" s="43"/>
      <c r="S33" s="43"/>
      <c r="T33" s="116"/>
      <c r="U33" s="43"/>
      <c r="V33" s="43"/>
      <c r="W33" s="116"/>
      <c r="X33" s="43"/>
      <c r="Y33" s="43"/>
      <c r="Z33" s="54"/>
      <c r="AA33" s="55"/>
      <c r="AB33" s="48"/>
      <c r="AC33" s="43"/>
    </row>
    <row r="34" spans="1:29" s="80" customFormat="1" ht="16.2" customHeight="1">
      <c r="A34" s="141"/>
      <c r="B34" s="74" t="str">
        <f>Q_IS!B35</f>
        <v>수출</v>
      </c>
      <c r="C34" s="75" t="str">
        <f>Q_IS!C35</f>
        <v>Global</v>
      </c>
      <c r="D34" s="339">
        <v>0.82575596100000015</v>
      </c>
      <c r="E34" s="339">
        <v>1.2960373169999995</v>
      </c>
      <c r="F34" s="969">
        <f t="shared" si="4"/>
        <v>0.56951615030484692</v>
      </c>
      <c r="G34" s="339">
        <f>C_IS!G35</f>
        <v>1.1680000000000001</v>
      </c>
      <c r="H34" s="969">
        <f t="shared" si="5"/>
        <v>-9.8791381483037455E-2</v>
      </c>
      <c r="I34" s="117"/>
      <c r="J34" s="79"/>
      <c r="K34" s="79"/>
      <c r="L34" s="117"/>
      <c r="M34" s="79"/>
      <c r="N34" s="117"/>
      <c r="O34" s="79"/>
      <c r="P34" s="79"/>
      <c r="Q34" s="117"/>
      <c r="R34" s="79"/>
      <c r="S34" s="79"/>
      <c r="T34" s="117"/>
      <c r="U34" s="79"/>
      <c r="V34" s="79"/>
      <c r="W34" s="117"/>
      <c r="X34" s="79"/>
      <c r="Y34" s="79"/>
      <c r="Z34" s="76"/>
      <c r="AA34" s="77"/>
      <c r="AB34" s="78"/>
      <c r="AC34" s="79"/>
    </row>
    <row r="35" spans="1:29" s="80" customFormat="1" ht="16.2" customHeight="1">
      <c r="A35" s="141"/>
      <c r="B35" s="74" t="str">
        <f>Q_IS!B36</f>
        <v>내수</v>
      </c>
      <c r="C35" s="75" t="str">
        <f>Q_IS!C36</f>
        <v>Korea</v>
      </c>
      <c r="D35" s="339">
        <v>1.6150209369999999</v>
      </c>
      <c r="E35" s="339">
        <v>3.4311746869999995</v>
      </c>
      <c r="F35" s="969">
        <f t="shared" si="4"/>
        <v>1.1245388269539194</v>
      </c>
      <c r="G35" s="339">
        <f>C_IS!G36</f>
        <v>6.1349999999999998</v>
      </c>
      <c r="H35" s="969">
        <f t="shared" si="5"/>
        <v>0.78801738752743389</v>
      </c>
      <c r="I35" s="117"/>
      <c r="J35" s="79"/>
      <c r="K35" s="79"/>
      <c r="L35" s="117"/>
      <c r="M35" s="79"/>
      <c r="N35" s="117"/>
      <c r="O35" s="79"/>
      <c r="P35" s="79"/>
      <c r="Q35" s="117"/>
      <c r="R35" s="79"/>
      <c r="S35" s="79"/>
      <c r="T35" s="117"/>
      <c r="U35" s="79"/>
      <c r="V35" s="79"/>
      <c r="W35" s="117"/>
      <c r="X35" s="79"/>
      <c r="Y35" s="79"/>
      <c r="Z35" s="76"/>
      <c r="AA35" s="77"/>
      <c r="AB35" s="78"/>
      <c r="AC35" s="79"/>
    </row>
    <row r="36" spans="1:29" s="14" customFormat="1" ht="16.2" customHeight="1">
      <c r="A36" s="141"/>
      <c r="B36" s="67" t="str">
        <f>Q_IS!B37</f>
        <v>임대료</v>
      </c>
      <c r="C36" s="68" t="str">
        <f>Q_IS!C37</f>
        <v>Rentals</v>
      </c>
      <c r="D36" s="115">
        <v>1.574737268</v>
      </c>
      <c r="E36" s="115">
        <v>1.0116344770000001</v>
      </c>
      <c r="F36" s="970">
        <f t="shared" si="4"/>
        <v>-0.35758523179880697</v>
      </c>
      <c r="G36" s="115">
        <f>C_IS!G37</f>
        <v>0.92699999999999994</v>
      </c>
      <c r="H36" s="970">
        <f t="shared" si="5"/>
        <v>-8.3661123581892483E-2</v>
      </c>
      <c r="I36" s="116"/>
      <c r="J36" s="43"/>
      <c r="K36" s="43"/>
      <c r="L36" s="116"/>
      <c r="M36" s="43"/>
      <c r="N36" s="116"/>
      <c r="O36" s="43"/>
      <c r="P36" s="43"/>
      <c r="Q36" s="116"/>
      <c r="R36" s="43"/>
      <c r="S36" s="43"/>
      <c r="T36" s="116"/>
      <c r="U36" s="43"/>
      <c r="V36" s="43"/>
      <c r="W36" s="116"/>
      <c r="X36" s="43"/>
      <c r="Y36" s="43"/>
      <c r="Z36" s="54"/>
      <c r="AA36" s="55"/>
      <c r="AB36" s="48"/>
      <c r="AC36" s="43"/>
    </row>
    <row r="37" spans="1:29" s="41" customFormat="1" ht="16.2" customHeight="1">
      <c r="A37" s="141"/>
      <c r="B37" s="81" t="str">
        <f>Q_IS!B38</f>
        <v>기존 사업 기준</v>
      </c>
      <c r="C37" s="82" t="str">
        <f>Q_IS!C38</f>
        <v>Total</v>
      </c>
      <c r="D37" s="340">
        <f>D38+D39</f>
        <v>180.13358246135394</v>
      </c>
      <c r="E37" s="340">
        <f>E38+E39</f>
        <v>242.93826581551565</v>
      </c>
      <c r="F37" s="348">
        <f t="shared" si="4"/>
        <v>0.34865616114438791</v>
      </c>
      <c r="G37" s="340">
        <f>C_IS!G38</f>
        <v>336.82299999999998</v>
      </c>
      <c r="H37" s="348">
        <f t="shared" si="5"/>
        <v>0.38645510977582775</v>
      </c>
      <c r="I37" s="106"/>
      <c r="J37" s="43"/>
      <c r="K37" s="43"/>
      <c r="L37" s="106"/>
      <c r="M37" s="43"/>
      <c r="N37" s="106"/>
      <c r="O37" s="43"/>
      <c r="P37" s="43"/>
      <c r="Q37" s="106"/>
      <c r="R37" s="43"/>
      <c r="S37" s="43"/>
      <c r="T37" s="106"/>
      <c r="U37" s="43"/>
      <c r="V37" s="43"/>
      <c r="W37" s="106"/>
      <c r="X37" s="43"/>
      <c r="Y37" s="43"/>
      <c r="Z37" s="40"/>
      <c r="AB37" s="48"/>
      <c r="AC37" s="43"/>
    </row>
    <row r="38" spans="1:29" s="80" customFormat="1" ht="16.2" customHeight="1">
      <c r="A38" s="141"/>
      <c r="B38" s="74" t="str">
        <f>Q_IS!B39</f>
        <v>수출</v>
      </c>
      <c r="C38" s="75" t="str">
        <f>Q_IS!C39</f>
        <v>Global</v>
      </c>
      <c r="D38" s="339">
        <f>D28+D31+D34</f>
        <v>116.531446534</v>
      </c>
      <c r="E38" s="339">
        <f>E28+E31+E34</f>
        <v>163.15419398999998</v>
      </c>
      <c r="F38" s="969">
        <f t="shared" si="4"/>
        <v>0.40008726264628502</v>
      </c>
      <c r="G38" s="339">
        <f>C_IS!G39</f>
        <v>224.67099999999999</v>
      </c>
      <c r="H38" s="969">
        <f t="shared" si="5"/>
        <v>0.37704704062814653</v>
      </c>
      <c r="I38" s="117"/>
      <c r="J38" s="79"/>
      <c r="K38" s="79"/>
      <c r="L38" s="117"/>
      <c r="M38" s="79"/>
      <c r="N38" s="117"/>
      <c r="O38" s="79"/>
      <c r="P38" s="79"/>
      <c r="Q38" s="117"/>
      <c r="R38" s="79"/>
      <c r="S38" s="79"/>
      <c r="T38" s="117"/>
      <c r="U38" s="79"/>
      <c r="V38" s="79"/>
      <c r="W38" s="117"/>
      <c r="X38" s="79"/>
      <c r="Y38" s="79"/>
      <c r="Z38" s="76"/>
      <c r="AA38" s="77"/>
      <c r="AB38" s="78"/>
      <c r="AC38" s="79"/>
    </row>
    <row r="39" spans="1:29" ht="16.2" customHeight="1" thickBot="1">
      <c r="B39" s="74" t="str">
        <f>Q_IS!B40</f>
        <v>내수</v>
      </c>
      <c r="C39" s="75" t="str">
        <f>Q_IS!C40</f>
        <v>Korea</v>
      </c>
      <c r="D39" s="339">
        <f>D29+D32+D35+D36</f>
        <v>63.602135927353949</v>
      </c>
      <c r="E39" s="339">
        <f>E29+E32+E35+E36</f>
        <v>79.784071825515653</v>
      </c>
      <c r="F39" s="969">
        <f t="shared" si="4"/>
        <v>0.2544244098444215</v>
      </c>
      <c r="G39" s="339">
        <f>C_IS!G40</f>
        <v>112.15199999999999</v>
      </c>
      <c r="H39" s="969">
        <f t="shared" si="5"/>
        <v>0.40569411204371231</v>
      </c>
      <c r="I39" s="117"/>
      <c r="J39" s="79"/>
      <c r="K39" s="79"/>
      <c r="L39" s="117"/>
      <c r="M39" s="79"/>
      <c r="N39" s="117"/>
      <c r="O39" s="79"/>
      <c r="P39" s="79"/>
      <c r="Q39" s="117"/>
      <c r="R39" s="79"/>
      <c r="S39" s="79"/>
      <c r="T39" s="117"/>
      <c r="U39" s="79"/>
      <c r="V39" s="79"/>
      <c r="W39" s="117"/>
      <c r="X39" s="79"/>
      <c r="Y39" s="79"/>
      <c r="Z39" s="76"/>
      <c r="AA39" s="83"/>
      <c r="AB39" s="78"/>
      <c r="AC39" s="79"/>
    </row>
    <row r="40" spans="1:29" ht="16.2" customHeight="1" thickBot="1">
      <c r="B40" s="132" t="str">
        <f>Q_IS!B42</f>
        <v>브라질</v>
      </c>
      <c r="C40" s="133" t="str">
        <f>Q_IS!C42</f>
        <v>Brazil</v>
      </c>
      <c r="D40" s="341">
        <v>45.701865999999995</v>
      </c>
      <c r="E40" s="341">
        <v>46.938000000000002</v>
      </c>
      <c r="F40" s="980">
        <f t="shared" si="4"/>
        <v>2.7047779624578272E-2</v>
      </c>
      <c r="G40" s="705" t="s">
        <v>353</v>
      </c>
      <c r="H40" s="342"/>
      <c r="I40" s="117"/>
      <c r="J40" s="79"/>
      <c r="K40" s="79"/>
      <c r="L40" s="117"/>
      <c r="M40" s="79"/>
      <c r="N40" s="117"/>
      <c r="O40" s="79"/>
      <c r="P40" s="79"/>
      <c r="Q40" s="117"/>
      <c r="R40" s="79"/>
      <c r="S40" s="79"/>
      <c r="T40" s="117"/>
      <c r="U40" s="79"/>
      <c r="V40" s="79"/>
      <c r="W40" s="117"/>
      <c r="X40" s="79"/>
      <c r="Y40" s="79"/>
      <c r="Z40" s="76"/>
      <c r="AA40" s="83"/>
      <c r="AB40" s="84"/>
      <c r="AC40" s="79"/>
    </row>
    <row r="41" spans="1:29" ht="16.2" customHeight="1" thickBot="1">
      <c r="B41" s="132" t="str">
        <f>Q_IS!B43</f>
        <v>원/달러 환율(분기 평균)</v>
      </c>
      <c r="C41" s="133" t="str">
        <f>Q_IS!C43</f>
        <v>￦/$ (Average)</v>
      </c>
      <c r="D41" s="341">
        <v>1305.4000000000001</v>
      </c>
      <c r="E41" s="341">
        <v>1363.98</v>
      </c>
      <c r="F41" s="343"/>
      <c r="G41" s="341">
        <v>1422.2168724279843</v>
      </c>
      <c r="H41" s="343"/>
      <c r="I41" s="117"/>
      <c r="J41" s="79"/>
      <c r="K41" s="79"/>
      <c r="L41" s="117"/>
      <c r="M41" s="79"/>
      <c r="N41" s="117"/>
      <c r="O41" s="79"/>
      <c r="P41" s="79"/>
      <c r="Q41" s="117"/>
      <c r="R41" s="79"/>
      <c r="S41" s="79"/>
      <c r="T41" s="117"/>
      <c r="U41" s="79"/>
      <c r="V41" s="79"/>
      <c r="W41" s="117"/>
      <c r="X41" s="79"/>
      <c r="Y41" s="79"/>
      <c r="Z41" s="76"/>
      <c r="AA41" s="83"/>
      <c r="AB41" s="84"/>
      <c r="AC41" s="79"/>
    </row>
    <row r="42" spans="1:29" s="33" customFormat="1" ht="16.2" customHeight="1">
      <c r="A42" s="141"/>
      <c r="B42" s="136"/>
      <c r="C42" s="85"/>
      <c r="D42" s="261" t="b">
        <f>ROUND(D37,1)=ROUND(D4,1)</f>
        <v>1</v>
      </c>
      <c r="E42" s="261" t="b">
        <f>ROUND(E37,1)=ROUND(E4,1)</f>
        <v>1</v>
      </c>
      <c r="F42" s="344"/>
      <c r="G42" s="261"/>
      <c r="H42" s="344"/>
      <c r="I42" s="118"/>
      <c r="L42" s="118"/>
      <c r="N42" s="118"/>
      <c r="Q42" s="118"/>
      <c r="T42" s="118"/>
      <c r="W42" s="118"/>
      <c r="AB42" s="86"/>
    </row>
    <row r="43" spans="1:29" s="33" customFormat="1" ht="16.2" customHeight="1">
      <c r="A43" s="142"/>
      <c r="B43" s="34" t="s">
        <v>188</v>
      </c>
      <c r="C43" s="35"/>
      <c r="D43" s="345"/>
      <c r="E43" s="345"/>
      <c r="F43" s="274"/>
      <c r="G43" s="345"/>
      <c r="H43" s="274"/>
      <c r="I43" s="119"/>
      <c r="J43" s="8"/>
      <c r="K43" s="8"/>
      <c r="L43" s="119"/>
      <c r="M43" s="8"/>
      <c r="N43" s="119"/>
      <c r="O43" s="8"/>
      <c r="P43" s="8"/>
      <c r="Q43" s="119"/>
      <c r="R43" s="8"/>
      <c r="S43" s="8"/>
      <c r="T43" s="119"/>
      <c r="U43" s="8"/>
      <c r="V43" s="8"/>
      <c r="W43" s="119"/>
      <c r="X43" s="8"/>
      <c r="Y43" s="8"/>
      <c r="AC43" s="86"/>
    </row>
    <row r="44" spans="1:29" s="14" customFormat="1" ht="16.2" customHeight="1">
      <c r="A44" s="144"/>
      <c r="B44" s="37" t="str">
        <f>Q_IS!B46</f>
        <v>(단위 : %)</v>
      </c>
      <c r="C44" s="166" t="str">
        <f>Q_IS!C46</f>
        <v>(Unit: %)</v>
      </c>
      <c r="D44" s="324">
        <f t="shared" ref="D44:F44" si="6">D3</f>
        <v>2023</v>
      </c>
      <c r="E44" s="324">
        <f t="shared" si="6"/>
        <v>2024</v>
      </c>
      <c r="F44" s="326" t="str">
        <f t="shared" si="6"/>
        <v>yoy</v>
      </c>
      <c r="G44" s="324">
        <f>G3</f>
        <v>2025</v>
      </c>
      <c r="H44" s="326" t="str">
        <f>H3</f>
        <v>yoy</v>
      </c>
      <c r="I44" s="9"/>
      <c r="J44" s="9"/>
      <c r="K44" s="9"/>
      <c r="L44" s="9"/>
      <c r="M44" s="9"/>
      <c r="N44" s="9"/>
      <c r="O44" s="9"/>
      <c r="P44" s="9"/>
      <c r="Q44" s="9"/>
      <c r="R44" s="9"/>
      <c r="S44" s="9"/>
      <c r="T44" s="9"/>
      <c r="U44" s="9"/>
      <c r="V44" s="9"/>
      <c r="W44" s="9"/>
      <c r="X44" s="9"/>
      <c r="Y44" s="9"/>
      <c r="Z44" s="35"/>
      <c r="AA44" s="9"/>
      <c r="AB44" s="9"/>
      <c r="AC44" s="9"/>
    </row>
    <row r="45" spans="1:29" s="14" customFormat="1" ht="16.2" customHeight="1">
      <c r="A45" s="142"/>
      <c r="B45" s="67" t="str">
        <f>Q_IS!B48</f>
        <v>장비</v>
      </c>
      <c r="C45" s="68" t="str">
        <f>Q_IS!C48</f>
        <v>Device</v>
      </c>
      <c r="D45" s="120">
        <f t="shared" ref="D45:D56" si="7">D27/D$37</f>
        <v>0.52780449158474663</v>
      </c>
      <c r="E45" s="120">
        <f t="shared" ref="E45:G56" si="8">E27/E$37</f>
        <v>0.51156506060223306</v>
      </c>
      <c r="F45" s="971">
        <f>+E45-D45</f>
        <v>-1.623943098251357E-2</v>
      </c>
      <c r="G45" s="120">
        <f t="shared" si="8"/>
        <v>0.51650273288938109</v>
      </c>
      <c r="H45" s="971">
        <f>+G45-F45</f>
        <v>0.53274216387189466</v>
      </c>
      <c r="I45" s="121"/>
      <c r="J45" s="43"/>
      <c r="K45" s="43"/>
      <c r="L45" s="121"/>
      <c r="M45" s="43"/>
      <c r="N45" s="121"/>
      <c r="O45" s="43"/>
      <c r="P45" s="43"/>
      <c r="Q45" s="121"/>
      <c r="R45" s="43"/>
      <c r="S45" s="43"/>
      <c r="T45" s="121"/>
      <c r="U45" s="43"/>
      <c r="V45" s="43"/>
      <c r="W45" s="121"/>
      <c r="X45" s="43"/>
      <c r="Y45" s="43"/>
      <c r="Z45" s="54"/>
      <c r="AA45" s="55"/>
      <c r="AB45" s="48"/>
      <c r="AC45" s="43"/>
    </row>
    <row r="46" spans="1:29" s="80" customFormat="1" ht="16.2" customHeight="1">
      <c r="A46" s="145"/>
      <c r="B46" s="74" t="str">
        <f>Q_IS!B49</f>
        <v>수출</v>
      </c>
      <c r="C46" s="75" t="str">
        <f>Q_IS!C49</f>
        <v>Global</v>
      </c>
      <c r="D46" s="346">
        <f t="shared" si="7"/>
        <v>0.37709370623089222</v>
      </c>
      <c r="E46" s="346">
        <f t="shared" si="8"/>
        <v>0.39063150150691128</v>
      </c>
      <c r="F46" s="972">
        <f t="shared" ref="F46:H58" si="9">+E46-D46</f>
        <v>1.353779527601906E-2</v>
      </c>
      <c r="G46" s="346">
        <f t="shared" si="8"/>
        <v>0.38015218675684265</v>
      </c>
      <c r="H46" s="972">
        <f t="shared" si="9"/>
        <v>0.36661439148082359</v>
      </c>
      <c r="I46" s="122"/>
      <c r="J46" s="79"/>
      <c r="K46" s="79"/>
      <c r="L46" s="122"/>
      <c r="M46" s="79"/>
      <c r="N46" s="122"/>
      <c r="O46" s="79"/>
      <c r="P46" s="79"/>
      <c r="Q46" s="122"/>
      <c r="R46" s="79"/>
      <c r="S46" s="79"/>
      <c r="T46" s="122"/>
      <c r="U46" s="79"/>
      <c r="V46" s="79"/>
      <c r="W46" s="122"/>
      <c r="X46" s="79"/>
      <c r="Y46" s="79"/>
      <c r="Z46" s="76"/>
      <c r="AA46" s="77"/>
      <c r="AB46" s="78"/>
      <c r="AC46" s="79"/>
    </row>
    <row r="47" spans="1:29" s="80" customFormat="1" ht="16.2" customHeight="1">
      <c r="A47" s="145"/>
      <c r="B47" s="74" t="str">
        <f>Q_IS!B50</f>
        <v>내수</v>
      </c>
      <c r="C47" s="75" t="str">
        <f>Q_IS!C50</f>
        <v>Korea</v>
      </c>
      <c r="D47" s="346">
        <f t="shared" si="7"/>
        <v>0.1507107853538544</v>
      </c>
      <c r="E47" s="346">
        <f t="shared" si="8"/>
        <v>0.12093355909532177</v>
      </c>
      <c r="F47" s="972">
        <f t="shared" si="9"/>
        <v>-2.977722625853263E-2</v>
      </c>
      <c r="G47" s="346">
        <f t="shared" si="8"/>
        <v>0.13635054613253847</v>
      </c>
      <c r="H47" s="972">
        <f t="shared" si="9"/>
        <v>0.1661277723910711</v>
      </c>
      <c r="I47" s="122"/>
      <c r="J47" s="79"/>
      <c r="K47" s="79"/>
      <c r="L47" s="122"/>
      <c r="M47" s="79"/>
      <c r="N47" s="122"/>
      <c r="O47" s="79"/>
      <c r="P47" s="79"/>
      <c r="Q47" s="122"/>
      <c r="R47" s="79"/>
      <c r="S47" s="79"/>
      <c r="T47" s="122"/>
      <c r="U47" s="79"/>
      <c r="V47" s="79"/>
      <c r="W47" s="122"/>
      <c r="X47" s="79"/>
      <c r="Y47" s="79"/>
      <c r="Z47" s="76"/>
      <c r="AA47" s="77"/>
      <c r="AB47" s="78"/>
      <c r="AC47" s="79"/>
    </row>
    <row r="48" spans="1:29" s="14" customFormat="1" ht="16.2" customHeight="1">
      <c r="A48" s="142"/>
      <c r="B48" s="67" t="str">
        <f>Q_IS!B51</f>
        <v>소모품</v>
      </c>
      <c r="C48" s="68" t="str">
        <f>Q_IS!C51</f>
        <v>Consumable</v>
      </c>
      <c r="D48" s="120">
        <f t="shared" si="7"/>
        <v>0.44990363973018194</v>
      </c>
      <c r="E48" s="120">
        <f t="shared" si="8"/>
        <v>0.46481228587410178</v>
      </c>
      <c r="F48" s="973">
        <f t="shared" si="9"/>
        <v>1.4908646143919846E-2</v>
      </c>
      <c r="G48" s="120">
        <f t="shared" si="8"/>
        <v>0.45906306873342972</v>
      </c>
      <c r="H48" s="973">
        <f t="shared" si="9"/>
        <v>0.44415442258950988</v>
      </c>
      <c r="I48" s="121"/>
      <c r="J48" s="43"/>
      <c r="K48" s="43"/>
      <c r="L48" s="121"/>
      <c r="M48" s="43"/>
      <c r="N48" s="121"/>
      <c r="O48" s="43"/>
      <c r="P48" s="43"/>
      <c r="Q48" s="121"/>
      <c r="R48" s="43"/>
      <c r="S48" s="43"/>
      <c r="T48" s="121"/>
      <c r="U48" s="43"/>
      <c r="V48" s="43"/>
      <c r="W48" s="121"/>
      <c r="X48" s="43"/>
      <c r="Y48" s="43"/>
      <c r="Z48" s="54"/>
      <c r="AA48" s="55"/>
      <c r="AB48" s="48"/>
      <c r="AC48" s="43"/>
    </row>
    <row r="49" spans="1:29" s="80" customFormat="1" ht="16.2" customHeight="1">
      <c r="A49" s="145"/>
      <c r="B49" s="74" t="str">
        <f>Q_IS!B52</f>
        <v>수출</v>
      </c>
      <c r="C49" s="75" t="str">
        <f>Q_IS!C52</f>
        <v>Global</v>
      </c>
      <c r="D49" s="346">
        <f t="shared" si="7"/>
        <v>0.26523899482346913</v>
      </c>
      <c r="E49" s="346">
        <f t="shared" si="8"/>
        <v>0.27562070923338072</v>
      </c>
      <c r="F49" s="972">
        <f t="shared" si="9"/>
        <v>1.0381714409911591E-2</v>
      </c>
      <c r="G49" s="346">
        <f t="shared" si="8"/>
        <v>0.28340998090985475</v>
      </c>
      <c r="H49" s="972">
        <f t="shared" si="9"/>
        <v>0.27302826649994316</v>
      </c>
      <c r="I49" s="122"/>
      <c r="J49" s="79"/>
      <c r="K49" s="79"/>
      <c r="L49" s="122"/>
      <c r="M49" s="79"/>
      <c r="N49" s="122"/>
      <c r="O49" s="79"/>
      <c r="P49" s="79"/>
      <c r="Q49" s="122"/>
      <c r="R49" s="79"/>
      <c r="S49" s="79"/>
      <c r="T49" s="122"/>
      <c r="U49" s="79"/>
      <c r="V49" s="79"/>
      <c r="W49" s="122"/>
      <c r="X49" s="79"/>
      <c r="Y49" s="79"/>
      <c r="Z49" s="76"/>
      <c r="AA49" s="77"/>
      <c r="AB49" s="78"/>
      <c r="AC49" s="79"/>
    </row>
    <row r="50" spans="1:29" s="80" customFormat="1" ht="16.2" customHeight="1">
      <c r="A50" s="145"/>
      <c r="B50" s="74" t="str">
        <f>Q_IS!B53</f>
        <v>내수</v>
      </c>
      <c r="C50" s="75" t="str">
        <f>Q_IS!C53</f>
        <v>Korea</v>
      </c>
      <c r="D50" s="346">
        <f t="shared" si="7"/>
        <v>0.18466464490671286</v>
      </c>
      <c r="E50" s="346">
        <f t="shared" si="8"/>
        <v>0.18919157664072109</v>
      </c>
      <c r="F50" s="972">
        <f t="shared" si="9"/>
        <v>4.5269317340082271E-3</v>
      </c>
      <c r="G50" s="346">
        <f t="shared" si="8"/>
        <v>0.175653087823575</v>
      </c>
      <c r="H50" s="972">
        <f t="shared" si="9"/>
        <v>0.17112615608956677</v>
      </c>
      <c r="I50" s="122"/>
      <c r="J50" s="79"/>
      <c r="K50" s="79"/>
      <c r="L50" s="122"/>
      <c r="M50" s="79"/>
      <c r="N50" s="122"/>
      <c r="O50" s="79"/>
      <c r="P50" s="79"/>
      <c r="Q50" s="122"/>
      <c r="R50" s="79"/>
      <c r="S50" s="79"/>
      <c r="T50" s="122"/>
      <c r="U50" s="79"/>
      <c r="V50" s="79"/>
      <c r="W50" s="122"/>
      <c r="X50" s="79"/>
      <c r="Y50" s="79"/>
      <c r="Z50" s="76"/>
      <c r="AA50" s="77"/>
      <c r="AB50" s="78"/>
      <c r="AC50" s="79"/>
    </row>
    <row r="51" spans="1:29" s="14" customFormat="1" ht="16.2" customHeight="1">
      <c r="A51" s="142"/>
      <c r="B51" s="67" t="str">
        <f>Q_IS!B54</f>
        <v>Homecare</v>
      </c>
      <c r="C51" s="68" t="str">
        <f>Q_IS!C54</f>
        <v>Shurink RX/SKEDERM</v>
      </c>
      <c r="D51" s="120">
        <f t="shared" si="7"/>
        <v>1.3549816001264769E-2</v>
      </c>
      <c r="E51" s="120">
        <f t="shared" si="8"/>
        <v>1.9458490773906267E-2</v>
      </c>
      <c r="F51" s="973">
        <f t="shared" si="9"/>
        <v>5.9086747726414986E-3</v>
      </c>
      <c r="G51" s="120">
        <f t="shared" si="8"/>
        <v>2.1682011026562916E-2</v>
      </c>
      <c r="H51" s="973">
        <f t="shared" si="9"/>
        <v>1.5773336253921418E-2</v>
      </c>
      <c r="I51" s="121"/>
      <c r="J51" s="43"/>
      <c r="K51" s="43"/>
      <c r="L51" s="121"/>
      <c r="M51" s="43"/>
      <c r="N51" s="121"/>
      <c r="O51" s="43"/>
      <c r="P51" s="43"/>
      <c r="Q51" s="121"/>
      <c r="R51" s="43"/>
      <c r="S51" s="43"/>
      <c r="T51" s="121"/>
      <c r="U51" s="43"/>
      <c r="V51" s="43"/>
      <c r="W51" s="121"/>
      <c r="X51" s="43"/>
      <c r="Y51" s="43"/>
      <c r="Z51" s="54"/>
      <c r="AA51" s="55"/>
      <c r="AB51" s="48"/>
      <c r="AC51" s="43"/>
    </row>
    <row r="52" spans="1:29" s="80" customFormat="1" ht="16.2" customHeight="1">
      <c r="A52" s="145"/>
      <c r="B52" s="74" t="str">
        <f>Q_IS!B55</f>
        <v>수출</v>
      </c>
      <c r="C52" s="75" t="str">
        <f>Q_IS!C55</f>
        <v>Global</v>
      </c>
      <c r="D52" s="346">
        <f t="shared" si="7"/>
        <v>4.5841311193439392E-3</v>
      </c>
      <c r="E52" s="346">
        <f t="shared" si="8"/>
        <v>5.3348422186572878E-3</v>
      </c>
      <c r="F52" s="972">
        <f t="shared" si="9"/>
        <v>7.507110993133486E-4</v>
      </c>
      <c r="G52" s="346">
        <f t="shared" si="8"/>
        <v>3.4676966834212633E-3</v>
      </c>
      <c r="H52" s="972">
        <f t="shared" si="9"/>
        <v>2.7169855841079147E-3</v>
      </c>
      <c r="I52" s="122"/>
      <c r="J52" s="79"/>
      <c r="K52" s="79"/>
      <c r="L52" s="122"/>
      <c r="M52" s="79"/>
      <c r="N52" s="122"/>
      <c r="O52" s="79"/>
      <c r="P52" s="79"/>
      <c r="Q52" s="122"/>
      <c r="R52" s="79"/>
      <c r="S52" s="79"/>
      <c r="T52" s="122"/>
      <c r="U52" s="79"/>
      <c r="V52" s="79"/>
      <c r="W52" s="122"/>
      <c r="X52" s="79"/>
      <c r="Y52" s="79"/>
      <c r="Z52" s="76"/>
      <c r="AA52" s="77"/>
      <c r="AB52" s="78"/>
      <c r="AC52" s="79"/>
    </row>
    <row r="53" spans="1:29" s="80" customFormat="1" ht="16.2" customHeight="1">
      <c r="A53" s="145"/>
      <c r="B53" s="74" t="str">
        <f>Q_IS!B56</f>
        <v>내수</v>
      </c>
      <c r="C53" s="75" t="str">
        <f>Q_IS!C56</f>
        <v>Korea</v>
      </c>
      <c r="D53" s="346">
        <f t="shared" si="7"/>
        <v>8.9656848819208278E-3</v>
      </c>
      <c r="E53" s="346">
        <f t="shared" si="8"/>
        <v>1.4123648555248976E-2</v>
      </c>
      <c r="F53" s="972">
        <f t="shared" si="9"/>
        <v>5.1579636733281482E-3</v>
      </c>
      <c r="G53" s="346">
        <f t="shared" si="8"/>
        <v>1.8214314343141649E-2</v>
      </c>
      <c r="H53" s="972">
        <f t="shared" si="9"/>
        <v>1.3056350669813501E-2</v>
      </c>
      <c r="I53" s="122"/>
      <c r="J53" s="79"/>
      <c r="K53" s="79"/>
      <c r="L53" s="122"/>
      <c r="M53" s="79"/>
      <c r="N53" s="122"/>
      <c r="O53" s="79"/>
      <c r="P53" s="79"/>
      <c r="Q53" s="122"/>
      <c r="R53" s="79"/>
      <c r="S53" s="79"/>
      <c r="T53" s="122"/>
      <c r="U53" s="79"/>
      <c r="V53" s="79"/>
      <c r="W53" s="122"/>
      <c r="X53" s="79"/>
      <c r="Y53" s="79"/>
      <c r="Z53" s="76"/>
      <c r="AA53" s="77"/>
      <c r="AB53" s="78"/>
      <c r="AC53" s="79"/>
    </row>
    <row r="54" spans="1:29" s="14" customFormat="1" ht="16.2" customHeight="1">
      <c r="A54" s="142"/>
      <c r="B54" s="67" t="str">
        <f>Q_IS!B57</f>
        <v>임대료</v>
      </c>
      <c r="C54" s="68" t="str">
        <f>Q_IS!C57</f>
        <v>Rentals</v>
      </c>
      <c r="D54" s="120">
        <f t="shared" si="7"/>
        <v>8.7420526838067301E-3</v>
      </c>
      <c r="E54" s="120">
        <f t="shared" si="8"/>
        <v>4.1641627497589163E-3</v>
      </c>
      <c r="F54" s="973">
        <f t="shared" si="9"/>
        <v>-4.5778899340478138E-3</v>
      </c>
      <c r="G54" s="120">
        <f t="shared" si="8"/>
        <v>2.7521873506262933E-3</v>
      </c>
      <c r="H54" s="973">
        <f t="shared" si="9"/>
        <v>7.3300772846741072E-3</v>
      </c>
      <c r="I54" s="121"/>
      <c r="J54" s="43"/>
      <c r="K54" s="43"/>
      <c r="L54" s="121"/>
      <c r="M54" s="43"/>
      <c r="N54" s="121"/>
      <c r="O54" s="43"/>
      <c r="P54" s="43"/>
      <c r="Q54" s="121"/>
      <c r="R54" s="43"/>
      <c r="S54" s="43"/>
      <c r="T54" s="121"/>
      <c r="U54" s="43"/>
      <c r="V54" s="43"/>
      <c r="W54" s="121"/>
      <c r="X54" s="43"/>
      <c r="Y54" s="43"/>
      <c r="Z54" s="54"/>
      <c r="AA54" s="55"/>
      <c r="AB54" s="48"/>
      <c r="AC54" s="43"/>
    </row>
    <row r="55" spans="1:29" s="139" customFormat="1" ht="16.8" customHeight="1">
      <c r="A55" s="142"/>
      <c r="B55" s="137" t="str">
        <f>Q_IS!B58</f>
        <v>기존 사업 기준</v>
      </c>
      <c r="C55" s="138" t="str">
        <f>Q_IS!C58</f>
        <v>Total</v>
      </c>
      <c r="D55" s="347">
        <f t="shared" si="7"/>
        <v>1</v>
      </c>
      <c r="E55" s="347">
        <f t="shared" si="8"/>
        <v>1</v>
      </c>
      <c r="F55" s="974">
        <f t="shared" si="9"/>
        <v>0</v>
      </c>
      <c r="G55" s="347">
        <f t="shared" si="8"/>
        <v>1</v>
      </c>
      <c r="H55" s="974">
        <f t="shared" si="9"/>
        <v>1</v>
      </c>
      <c r="I55" s="349"/>
      <c r="J55" s="58"/>
      <c r="K55" s="58"/>
      <c r="L55" s="349"/>
      <c r="M55" s="58"/>
      <c r="N55" s="349"/>
      <c r="O55" s="58"/>
      <c r="P55" s="58"/>
      <c r="Q55" s="349"/>
      <c r="R55" s="58"/>
      <c r="S55" s="58"/>
      <c r="T55" s="349"/>
      <c r="U55" s="58"/>
      <c r="V55" s="58"/>
      <c r="W55" s="349"/>
      <c r="X55" s="58"/>
      <c r="Y55" s="58"/>
      <c r="Z55" s="48"/>
      <c r="AB55" s="48"/>
      <c r="AC55" s="58"/>
    </row>
    <row r="56" spans="1:29" s="80" customFormat="1" ht="16.8" customHeight="1">
      <c r="A56" s="146"/>
      <c r="B56" s="74" t="str">
        <f>Q_IS!B59</f>
        <v>수출</v>
      </c>
      <c r="C56" s="75" t="str">
        <f>Q_IS!C59</f>
        <v>Global</v>
      </c>
      <c r="D56" s="346">
        <f t="shared" si="7"/>
        <v>0.64691683217370521</v>
      </c>
      <c r="E56" s="346">
        <f t="shared" si="8"/>
        <v>0.67158705295894916</v>
      </c>
      <c r="F56" s="972">
        <f t="shared" si="9"/>
        <v>2.4670220785243946E-2</v>
      </c>
      <c r="G56" s="346">
        <f t="shared" si="8"/>
        <v>0.66702986435011857</v>
      </c>
      <c r="H56" s="972">
        <f t="shared" si="9"/>
        <v>0.64235964356487463</v>
      </c>
      <c r="I56" s="122"/>
      <c r="J56" s="79"/>
      <c r="K56" s="79"/>
      <c r="L56" s="122"/>
      <c r="M56" s="79"/>
      <c r="N56" s="122"/>
      <c r="O56" s="79"/>
      <c r="P56" s="79"/>
      <c r="Q56" s="122"/>
      <c r="R56" s="79"/>
      <c r="S56" s="79"/>
      <c r="T56" s="122"/>
      <c r="U56" s="79"/>
      <c r="V56" s="79"/>
      <c r="W56" s="122"/>
      <c r="X56" s="79"/>
      <c r="Y56" s="79"/>
      <c r="Z56" s="76"/>
      <c r="AA56" s="77"/>
      <c r="AB56" s="78"/>
      <c r="AC56" s="79"/>
    </row>
    <row r="57" spans="1:29" ht="16.2" customHeight="1" thickBot="1">
      <c r="A57" s="145"/>
      <c r="B57" s="74" t="str">
        <f>Q_IS!B60</f>
        <v>내수</v>
      </c>
      <c r="C57" s="75" t="str">
        <f>Q_IS!C60</f>
        <v>Korea</v>
      </c>
      <c r="D57" s="346">
        <f>D39/D$37</f>
        <v>0.35308316782629484</v>
      </c>
      <c r="E57" s="346">
        <f>E39/E$37</f>
        <v>0.32841294704105078</v>
      </c>
      <c r="F57" s="972">
        <f t="shared" si="9"/>
        <v>-2.4670220785244057E-2</v>
      </c>
      <c r="G57" s="346">
        <f>G39/G$37</f>
        <v>0.33297013564988137</v>
      </c>
      <c r="H57" s="972">
        <f t="shared" si="9"/>
        <v>0.35764035643512543</v>
      </c>
      <c r="I57" s="122"/>
      <c r="J57" s="79"/>
      <c r="K57" s="79"/>
      <c r="L57" s="122"/>
      <c r="M57" s="79"/>
      <c r="N57" s="122"/>
      <c r="O57" s="79"/>
      <c r="P57" s="79"/>
      <c r="Q57" s="122"/>
      <c r="R57" s="79"/>
      <c r="S57" s="79"/>
      <c r="T57" s="122"/>
      <c r="U57" s="79"/>
      <c r="V57" s="79"/>
      <c r="W57" s="122"/>
      <c r="X57" s="79"/>
      <c r="Y57" s="79"/>
      <c r="Z57" s="76"/>
      <c r="AA57" s="83"/>
      <c r="AB57" s="78"/>
      <c r="AC57" s="79"/>
    </row>
    <row r="58" spans="1:29" ht="16.95" customHeight="1" thickBot="1">
      <c r="A58" s="147"/>
      <c r="B58" s="132" t="str">
        <f>Q_IS!B62</f>
        <v>브라질</v>
      </c>
      <c r="C58" s="133" t="str">
        <f>Q_IS!C62</f>
        <v>Brazil</v>
      </c>
      <c r="D58" s="967">
        <f>IFERROR(D40/D$37,"")</f>
        <v>0.25371097035615181</v>
      </c>
      <c r="E58" s="968">
        <f>IFERROR(E40/E$37,"")</f>
        <v>0.19320957874806</v>
      </c>
      <c r="F58" s="975">
        <f t="shared" si="9"/>
        <v>-6.0501391608091815E-2</v>
      </c>
      <c r="G58" s="968"/>
      <c r="H58" s="975">
        <f t="shared" si="9"/>
        <v>6.0501391608091815E-2</v>
      </c>
    </row>
    <row r="61" spans="1:29" ht="16.95" customHeight="1">
      <c r="B61" s="580" t="s">
        <v>415</v>
      </c>
    </row>
    <row r="62" spans="1:29" ht="16.95" customHeight="1">
      <c r="B62" s="557" t="s">
        <v>403</v>
      </c>
      <c r="C62" s="626" t="s">
        <v>405</v>
      </c>
      <c r="D62" s="628">
        <f>D44</f>
        <v>2023</v>
      </c>
      <c r="E62" s="628">
        <f>E44</f>
        <v>2024</v>
      </c>
      <c r="F62" s="629" t="s">
        <v>2</v>
      </c>
      <c r="G62" s="628">
        <f t="shared" ref="G62:H62" si="10">G44</f>
        <v>2025</v>
      </c>
      <c r="H62" s="629" t="str">
        <f t="shared" si="10"/>
        <v>yoy</v>
      </c>
    </row>
    <row r="63" spans="1:29" ht="16.95" customHeight="1">
      <c r="B63" s="592" t="s">
        <v>416</v>
      </c>
      <c r="C63" s="627" t="s">
        <v>59</v>
      </c>
      <c r="D63" s="630">
        <f>+SUM(D64:D67)</f>
        <v>8660.3140000000003</v>
      </c>
      <c r="E63" s="630">
        <v>24212</v>
      </c>
      <c r="F63" s="981">
        <f>IFERROR(E63/D63-1,0)</f>
        <v>1.7957415862750472</v>
      </c>
      <c r="G63" s="630">
        <f>C_IS!G67</f>
        <v>10070.360999999999</v>
      </c>
      <c r="H63" s="981">
        <f>IFERROR(G63/E63-1,0)</f>
        <v>-0.5840756236576905</v>
      </c>
    </row>
    <row r="64" spans="1:29" ht="16.95" customHeight="1">
      <c r="B64" s="555" t="s">
        <v>360</v>
      </c>
      <c r="C64" s="568" t="s">
        <v>377</v>
      </c>
      <c r="D64" s="631">
        <v>4627.866</v>
      </c>
      <c r="E64" s="631">
        <v>4801</v>
      </c>
      <c r="F64" s="623">
        <f t="shared" ref="F64:F84" si="11">IFERROR(E64/D64-1,0)</f>
        <v>3.7411195570485445E-2</v>
      </c>
      <c r="G64" s="631">
        <f>C_IS!G68</f>
        <v>5362.6669999999995</v>
      </c>
      <c r="H64" s="623">
        <f t="shared" ref="H64:H84" si="12">IFERROR(G64/E64-1,0)</f>
        <v>0.11698958550302008</v>
      </c>
    </row>
    <row r="65" spans="2:8" ht="16.95" customHeight="1">
      <c r="B65" s="555" t="s">
        <v>361</v>
      </c>
      <c r="C65" s="568" t="s">
        <v>378</v>
      </c>
      <c r="D65" s="631">
        <v>1126.0719999999999</v>
      </c>
      <c r="E65" s="631">
        <v>3089</v>
      </c>
      <c r="F65" s="623">
        <f t="shared" si="11"/>
        <v>1.7431638474271631</v>
      </c>
      <c r="G65" s="631">
        <f>C_IS!G69</f>
        <v>2272.5790000000002</v>
      </c>
      <c r="H65" s="623">
        <f t="shared" si="12"/>
        <v>-0.26429944966008412</v>
      </c>
    </row>
    <row r="66" spans="2:8" ht="16.95" customHeight="1">
      <c r="B66" s="555" t="s">
        <v>362</v>
      </c>
      <c r="C66" s="568" t="s">
        <v>380</v>
      </c>
      <c r="D66" s="631">
        <v>745.03</v>
      </c>
      <c r="E66" s="631">
        <v>3499</v>
      </c>
      <c r="F66" s="623">
        <f t="shared" si="11"/>
        <v>3.696455176301626</v>
      </c>
      <c r="G66" s="631">
        <f>C_IS!G70</f>
        <v>2130.8130000000001</v>
      </c>
      <c r="H66" s="623">
        <f t="shared" si="12"/>
        <v>-0.39102229208345241</v>
      </c>
    </row>
    <row r="67" spans="2:8" ht="16.95" customHeight="1">
      <c r="B67" s="555" t="s">
        <v>363</v>
      </c>
      <c r="C67" s="568" t="s">
        <v>379</v>
      </c>
      <c r="D67" s="631">
        <v>2161.346</v>
      </c>
      <c r="E67" s="631">
        <v>12823</v>
      </c>
      <c r="F67" s="623">
        <f t="shared" si="11"/>
        <v>4.9328770127503878</v>
      </c>
      <c r="G67" s="631">
        <f>C_IS!G71</f>
        <v>297.24299999999999</v>
      </c>
      <c r="H67" s="623">
        <f t="shared" si="12"/>
        <v>-0.97681954300865637</v>
      </c>
    </row>
    <row r="68" spans="2:8" ht="16.95" customHeight="1">
      <c r="B68" s="556" t="s">
        <v>460</v>
      </c>
      <c r="C68" s="575" t="s">
        <v>459</v>
      </c>
      <c r="D68" s="632">
        <v>0</v>
      </c>
      <c r="E68" s="632">
        <v>0</v>
      </c>
      <c r="F68" s="624">
        <f t="shared" si="11"/>
        <v>0</v>
      </c>
      <c r="G68" s="632">
        <f>C_IS!G72</f>
        <v>7.0590000000000002</v>
      </c>
      <c r="H68" s="624">
        <f t="shared" si="12"/>
        <v>0</v>
      </c>
    </row>
    <row r="69" spans="2:8" ht="16.95" customHeight="1">
      <c r="B69" s="592" t="s">
        <v>417</v>
      </c>
      <c r="C69" s="593" t="s">
        <v>60</v>
      </c>
      <c r="D69" s="630">
        <f>+SUM(D70:D75)</f>
        <v>3621.7570000000001</v>
      </c>
      <c r="E69" s="630">
        <v>-4683.99</v>
      </c>
      <c r="F69" s="625">
        <f t="shared" si="11"/>
        <v>-2.2932921783543181</v>
      </c>
      <c r="G69" s="630">
        <f>C_IS!G73</f>
        <v>-10869.599849</v>
      </c>
      <c r="H69" s="625">
        <f t="shared" si="12"/>
        <v>1.3205856223006456</v>
      </c>
    </row>
    <row r="70" spans="2:8" ht="16.95" customHeight="1">
      <c r="B70" s="555" t="s">
        <v>364</v>
      </c>
      <c r="C70" s="568" t="s">
        <v>381</v>
      </c>
      <c r="D70" s="631">
        <v>1985.684</v>
      </c>
      <c r="E70" s="631">
        <v>-2041</v>
      </c>
      <c r="F70" s="623">
        <f t="shared" si="11"/>
        <v>-2.0278574032927699</v>
      </c>
      <c r="G70" s="631">
        <f>C_IS!G74</f>
        <v>-2420.6579999999999</v>
      </c>
      <c r="H70" s="623">
        <f t="shared" si="12"/>
        <v>0.18601567858892687</v>
      </c>
    </row>
    <row r="71" spans="2:8" ht="16.95" customHeight="1">
      <c r="B71" s="555" t="s">
        <v>365</v>
      </c>
      <c r="C71" s="568" t="s">
        <v>382</v>
      </c>
      <c r="D71" s="631">
        <v>0</v>
      </c>
      <c r="E71" s="631">
        <v>9.9999999999909051E-3</v>
      </c>
      <c r="F71" s="623">
        <f t="shared" si="11"/>
        <v>0</v>
      </c>
      <c r="G71" s="631">
        <f>C_IS!G75</f>
        <v>-306.8931</v>
      </c>
      <c r="H71" s="623">
        <f t="shared" si="12"/>
        <v>-30690.310000027912</v>
      </c>
    </row>
    <row r="72" spans="2:8" ht="16.95" customHeight="1">
      <c r="B72" s="555" t="s">
        <v>366</v>
      </c>
      <c r="C72" s="568" t="s">
        <v>383</v>
      </c>
      <c r="D72" s="631">
        <v>617.56399999999996</v>
      </c>
      <c r="E72" s="631">
        <v>-946</v>
      </c>
      <c r="F72" s="623">
        <f t="shared" si="11"/>
        <v>-2.5318250416151202</v>
      </c>
      <c r="G72" s="631">
        <f>C_IS!G76</f>
        <v>-3160.42326</v>
      </c>
      <c r="H72" s="623">
        <f t="shared" si="12"/>
        <v>2.3408279704016914</v>
      </c>
    </row>
    <row r="73" spans="2:8" ht="16.95" customHeight="1">
      <c r="B73" s="555" t="s">
        <v>367</v>
      </c>
      <c r="C73" s="568" t="s">
        <v>384</v>
      </c>
      <c r="D73" s="631">
        <v>0</v>
      </c>
      <c r="E73" s="631">
        <v>-1648</v>
      </c>
      <c r="F73" s="623">
        <f t="shared" si="11"/>
        <v>0</v>
      </c>
      <c r="G73" s="631">
        <f>C_IS!G77</f>
        <v>-2330.9010819999999</v>
      </c>
      <c r="H73" s="623">
        <f t="shared" si="12"/>
        <v>0.41438172451456312</v>
      </c>
    </row>
    <row r="74" spans="2:8" ht="16.95" customHeight="1">
      <c r="B74" s="555" t="s">
        <v>368</v>
      </c>
      <c r="C74" s="568" t="s">
        <v>385</v>
      </c>
      <c r="D74" s="631">
        <v>0</v>
      </c>
      <c r="E74" s="631">
        <v>-29</v>
      </c>
      <c r="F74" s="623">
        <f t="shared" si="11"/>
        <v>0</v>
      </c>
      <c r="G74" s="631">
        <f>C_IS!G78</f>
        <v>-2.125721</v>
      </c>
      <c r="H74" s="623">
        <f t="shared" si="12"/>
        <v>-0.92669927586206891</v>
      </c>
    </row>
    <row r="75" spans="2:8" ht="16.95" customHeight="1">
      <c r="B75" s="556" t="s">
        <v>369</v>
      </c>
      <c r="C75" s="575" t="s">
        <v>386</v>
      </c>
      <c r="D75" s="632">
        <v>1018.509</v>
      </c>
      <c r="E75" s="632">
        <v>-20</v>
      </c>
      <c r="F75" s="624">
        <f t="shared" si="11"/>
        <v>-1.0196365471488225</v>
      </c>
      <c r="G75" s="632">
        <f>C_IS!G79</f>
        <v>-2648.5169859999996</v>
      </c>
      <c r="H75" s="624">
        <f t="shared" si="12"/>
        <v>131.42584929999998</v>
      </c>
    </row>
    <row r="76" spans="2:8" ht="16.95" customHeight="1">
      <c r="B76" s="592" t="s">
        <v>418</v>
      </c>
      <c r="C76" s="593" t="s">
        <v>61</v>
      </c>
      <c r="D76" s="630">
        <v>49.689</v>
      </c>
      <c r="E76" s="630">
        <v>28.125434999999996</v>
      </c>
      <c r="F76" s="625">
        <f t="shared" si="11"/>
        <v>-0.43397059711404951</v>
      </c>
      <c r="G76" s="630">
        <f>C_IS!G81</f>
        <v>389.363</v>
      </c>
      <c r="H76" s="625">
        <f t="shared" si="12"/>
        <v>12.843803660281168</v>
      </c>
    </row>
    <row r="77" spans="2:8" ht="16.95" customHeight="1">
      <c r="B77" s="555" t="s">
        <v>407</v>
      </c>
      <c r="C77" s="568" t="s">
        <v>411</v>
      </c>
      <c r="D77" s="631">
        <v>16.277999999999999</v>
      </c>
      <c r="E77" s="631">
        <v>12</v>
      </c>
      <c r="F77" s="623">
        <f t="shared" si="11"/>
        <v>-0.26280869885735347</v>
      </c>
      <c r="G77" s="631">
        <f>C_IS!G82</f>
        <v>114.547</v>
      </c>
      <c r="H77" s="623">
        <f t="shared" si="12"/>
        <v>8.5455833333333331</v>
      </c>
    </row>
    <row r="78" spans="2:8" ht="16.95" customHeight="1">
      <c r="B78" s="555" t="s">
        <v>408</v>
      </c>
      <c r="C78" s="568" t="s">
        <v>412</v>
      </c>
      <c r="D78" s="631">
        <v>0.32400000000000001</v>
      </c>
      <c r="E78" s="631">
        <v>0</v>
      </c>
      <c r="F78" s="623">
        <f t="shared" si="11"/>
        <v>-1</v>
      </c>
      <c r="G78" s="631">
        <f>C_IS!G83</f>
        <v>0.8</v>
      </c>
      <c r="H78" s="623">
        <f t="shared" si="12"/>
        <v>0</v>
      </c>
    </row>
    <row r="79" spans="2:8" ht="16.95" customHeight="1">
      <c r="B79" s="555" t="s">
        <v>409</v>
      </c>
      <c r="C79" s="568" t="s">
        <v>61</v>
      </c>
      <c r="D79" s="632">
        <v>33.087000000000003</v>
      </c>
      <c r="E79" s="632">
        <v>15.953999999999999</v>
      </c>
      <c r="F79" s="624">
        <f t="shared" si="11"/>
        <v>-0.51781666515549918</v>
      </c>
      <c r="G79" s="632">
        <f>C_IS!G86</f>
        <v>274.01600000000002</v>
      </c>
      <c r="H79" s="624">
        <f t="shared" si="12"/>
        <v>16.175379215243829</v>
      </c>
    </row>
    <row r="80" spans="2:8" ht="16.95" customHeight="1">
      <c r="B80" s="592" t="s">
        <v>419</v>
      </c>
      <c r="C80" s="593" t="s">
        <v>62</v>
      </c>
      <c r="D80" s="630">
        <v>-41.917518999999984</v>
      </c>
      <c r="E80" s="630">
        <v>-11459.091930000001</v>
      </c>
      <c r="F80" s="625">
        <f t="shared" si="11"/>
        <v>272.37237993498627</v>
      </c>
      <c r="G80" s="630">
        <f>C_IS!G87</f>
        <v>-1557.8630000000001</v>
      </c>
      <c r="H80" s="625">
        <f t="shared" si="12"/>
        <v>-0.86405004781212191</v>
      </c>
    </row>
    <row r="81" spans="2:8" ht="16.95" customHeight="1">
      <c r="B81" s="555" t="s">
        <v>443</v>
      </c>
      <c r="C81" s="568" t="s">
        <v>413</v>
      </c>
      <c r="D81" s="631">
        <v>-28.385999999999999</v>
      </c>
      <c r="E81" s="631">
        <v>-77.531000000000006</v>
      </c>
      <c r="F81" s="623">
        <f t="shared" si="11"/>
        <v>1.7313112097512859</v>
      </c>
      <c r="G81" s="631">
        <f>C_IS!G88</f>
        <v>-890.33799999999997</v>
      </c>
      <c r="H81" s="623">
        <f t="shared" si="12"/>
        <v>10.483638802543497</v>
      </c>
    </row>
    <row r="82" spans="2:8" ht="16.95" customHeight="1">
      <c r="B82" s="555" t="s">
        <v>444</v>
      </c>
      <c r="C82" s="568" t="s">
        <v>414</v>
      </c>
      <c r="D82" s="631">
        <v>-0.5</v>
      </c>
      <c r="E82" s="631">
        <v>-75.188999999999993</v>
      </c>
      <c r="F82" s="623">
        <f t="shared" si="11"/>
        <v>149.37799999999999</v>
      </c>
      <c r="G82" s="631">
        <f>C_IS!G89</f>
        <v>-4</v>
      </c>
      <c r="H82" s="623">
        <f t="shared" si="12"/>
        <v>-0.94680072883001498</v>
      </c>
    </row>
    <row r="83" spans="2:8" ht="16.95" customHeight="1">
      <c r="B83" s="555" t="s">
        <v>410</v>
      </c>
      <c r="C83" s="568" t="s">
        <v>62</v>
      </c>
      <c r="D83" s="631">
        <v>-12.932</v>
      </c>
      <c r="E83" s="631">
        <v>-135.114</v>
      </c>
      <c r="F83" s="623">
        <f t="shared" si="11"/>
        <v>9.4480358799876267</v>
      </c>
      <c r="G83" s="631">
        <f>C_IS!G90</f>
        <v>-436.66300000000001</v>
      </c>
      <c r="H83" s="623">
        <f t="shared" si="12"/>
        <v>2.2318116553428955</v>
      </c>
    </row>
    <row r="84" spans="2:8" ht="16.95" customHeight="1">
      <c r="B84" s="556" t="s">
        <v>432</v>
      </c>
      <c r="C84" s="575" t="s">
        <v>69</v>
      </c>
      <c r="D84" s="632">
        <f>D80-SUM(D81:D83)</f>
        <v>-9.951899999998659E-2</v>
      </c>
      <c r="E84" s="632">
        <f>E80-SUM(E81:E83)</f>
        <v>-11171.25793</v>
      </c>
      <c r="F84" s="624">
        <f t="shared" si="11"/>
        <v>112251.51389183478</v>
      </c>
      <c r="G84" s="632">
        <f>C_IS!G91</f>
        <v>-226.86199999999999</v>
      </c>
      <c r="H84" s="624">
        <f t="shared" si="12"/>
        <v>-0.97969234965108354</v>
      </c>
    </row>
    <row r="85" spans="2:8" ht="16.95" customHeight="1">
      <c r="D85" s="633"/>
      <c r="E85" s="633"/>
      <c r="G85" s="633"/>
    </row>
    <row r="86" spans="2:8" ht="16.2" customHeight="1">
      <c r="B86" s="93" t="s">
        <v>519</v>
      </c>
      <c r="D86" s="174"/>
      <c r="E86" s="174"/>
      <c r="F86" s="174"/>
      <c r="G86" s="174"/>
      <c r="H86" s="174"/>
    </row>
    <row r="87" spans="2:8" ht="16.2" customHeight="1">
      <c r="B87" s="557" t="s">
        <v>403</v>
      </c>
      <c r="C87" s="558" t="s">
        <v>405</v>
      </c>
      <c r="D87" s="930">
        <v>2023</v>
      </c>
      <c r="E87" s="628">
        <v>2024</v>
      </c>
      <c r="F87" s="629" t="s">
        <v>526</v>
      </c>
      <c r="G87" s="628">
        <v>2025</v>
      </c>
      <c r="H87" s="629" t="s">
        <v>526</v>
      </c>
    </row>
    <row r="88" spans="2:8" ht="16.2" customHeight="1">
      <c r="B88" s="601" t="s">
        <v>520</v>
      </c>
      <c r="C88" s="593"/>
      <c r="D88" s="915"/>
      <c r="E88" s="931"/>
      <c r="F88" s="932"/>
      <c r="G88" s="931"/>
      <c r="H88" s="932"/>
    </row>
    <row r="89" spans="2:8" ht="16.2" customHeight="1">
      <c r="B89" s="582" t="s">
        <v>425</v>
      </c>
      <c r="C89" s="583" t="s">
        <v>212</v>
      </c>
      <c r="D89" s="916">
        <v>180122.79800000001</v>
      </c>
      <c r="E89" s="933">
        <v>242938.965</v>
      </c>
      <c r="F89" s="982">
        <f t="shared" ref="F89:F118" si="13">IFERROR(E89/D89-1,0)</f>
        <v>0.34874079071323316</v>
      </c>
      <c r="G89" s="935">
        <v>336819.63799999998</v>
      </c>
      <c r="H89" s="982">
        <f>IFERROR(G89/E89-1,0)</f>
        <v>0.38643728065606919</v>
      </c>
    </row>
    <row r="90" spans="2:8" ht="16.2" customHeight="1">
      <c r="B90" s="582" t="s">
        <v>176</v>
      </c>
      <c r="C90" s="583" t="s">
        <v>524</v>
      </c>
      <c r="D90" s="916">
        <v>140449.06400000001</v>
      </c>
      <c r="E90" s="933">
        <v>191127.52900000001</v>
      </c>
      <c r="F90" s="982">
        <f t="shared" si="13"/>
        <v>0.36083163217093417</v>
      </c>
      <c r="G90" s="935">
        <v>261091.85699999999</v>
      </c>
      <c r="H90" s="982">
        <f t="shared" ref="H90:H118" si="14">IFERROR(G90/E90-1,0)</f>
        <v>0.36606096654972187</v>
      </c>
    </row>
    <row r="91" spans="2:8" ht="16.2" customHeight="1">
      <c r="B91" s="582" t="s">
        <v>178</v>
      </c>
      <c r="C91" s="583" t="s">
        <v>525</v>
      </c>
      <c r="D91" s="916">
        <v>89622.381999999998</v>
      </c>
      <c r="E91" s="933">
        <v>122422.594</v>
      </c>
      <c r="F91" s="982">
        <f t="shared" si="13"/>
        <v>0.36598237257295829</v>
      </c>
      <c r="G91" s="935">
        <v>170600.87400000001</v>
      </c>
      <c r="H91" s="982">
        <f t="shared" si="14"/>
        <v>0.39354075441335623</v>
      </c>
    </row>
    <row r="92" spans="2:8" ht="16.2" customHeight="1">
      <c r="B92" s="582" t="s">
        <v>426</v>
      </c>
      <c r="C92" s="583" t="s">
        <v>429</v>
      </c>
      <c r="D92" s="916">
        <v>74223.202999999994</v>
      </c>
      <c r="E92" s="985">
        <v>97543.754000000001</v>
      </c>
      <c r="F92" s="984">
        <f t="shared" si="13"/>
        <v>0.31419488862532652</v>
      </c>
      <c r="G92" s="936">
        <v>131970.25</v>
      </c>
      <c r="H92" s="984">
        <f t="shared" si="14"/>
        <v>0.35293388441867846</v>
      </c>
    </row>
    <row r="93" spans="2:8" ht="16.2" customHeight="1">
      <c r="B93" s="601" t="s">
        <v>518</v>
      </c>
      <c r="C93" s="593"/>
      <c r="D93" s="917"/>
      <c r="E93" s="934"/>
      <c r="F93" s="983"/>
      <c r="G93" s="934"/>
      <c r="H93" s="983"/>
    </row>
    <row r="94" spans="2:8" ht="16.2" customHeight="1">
      <c r="B94" s="582" t="s">
        <v>425</v>
      </c>
      <c r="C94" s="583" t="s">
        <v>212</v>
      </c>
      <c r="D94" s="916">
        <v>179996.40700000001</v>
      </c>
      <c r="E94" s="933">
        <v>242500.155</v>
      </c>
      <c r="F94" s="982">
        <f t="shared" si="13"/>
        <v>0.34724997593979756</v>
      </c>
      <c r="G94" s="933">
        <v>336505.01699999999</v>
      </c>
      <c r="H94" s="982">
        <f t="shared" si="14"/>
        <v>0.3876486676884805</v>
      </c>
    </row>
    <row r="95" spans="2:8" ht="16.2" customHeight="1">
      <c r="B95" s="582" t="s">
        <v>176</v>
      </c>
      <c r="C95" s="583" t="s">
        <v>524</v>
      </c>
      <c r="D95" s="916">
        <v>140340.59099999999</v>
      </c>
      <c r="E95" s="933">
        <v>191477.57500000001</v>
      </c>
      <c r="F95" s="982">
        <f t="shared" si="13"/>
        <v>0.36437771592396984</v>
      </c>
      <c r="G95" s="933">
        <v>259238.25900000002</v>
      </c>
      <c r="H95" s="982">
        <f t="shared" si="14"/>
        <v>0.3538831322675775</v>
      </c>
    </row>
    <row r="96" spans="2:8" ht="16.2" customHeight="1">
      <c r="B96" s="582" t="s">
        <v>178</v>
      </c>
      <c r="C96" s="583" t="s">
        <v>525</v>
      </c>
      <c r="D96" s="916">
        <v>89686.77</v>
      </c>
      <c r="E96" s="933">
        <v>123166.978</v>
      </c>
      <c r="F96" s="982">
        <f t="shared" si="13"/>
        <v>0.37330152485143575</v>
      </c>
      <c r="G96" s="933">
        <v>171421.86</v>
      </c>
      <c r="H96" s="982">
        <f t="shared" si="14"/>
        <v>0.39178424918406285</v>
      </c>
    </row>
    <row r="97" spans="2:8" ht="16.2" customHeight="1">
      <c r="B97" s="582" t="s">
        <v>426</v>
      </c>
      <c r="C97" s="583" t="s">
        <v>429</v>
      </c>
      <c r="D97" s="916">
        <v>74298.861000000004</v>
      </c>
      <c r="E97" s="985">
        <v>98424.97</v>
      </c>
      <c r="F97" s="984">
        <f t="shared" si="13"/>
        <v>0.32471707742599176</v>
      </c>
      <c r="G97" s="985">
        <v>133074.636</v>
      </c>
      <c r="H97" s="984">
        <f t="shared" si="14"/>
        <v>0.35204141794505994</v>
      </c>
    </row>
    <row r="98" spans="2:8" ht="16.2" customHeight="1">
      <c r="B98" s="601" t="s">
        <v>499</v>
      </c>
      <c r="C98" s="593"/>
      <c r="D98" s="917"/>
      <c r="E98" s="934"/>
      <c r="F98" s="983"/>
      <c r="G98" s="934"/>
      <c r="H98" s="983"/>
    </row>
    <row r="99" spans="2:8" ht="16.2" customHeight="1">
      <c r="B99" s="582" t="s">
        <v>425</v>
      </c>
      <c r="C99" s="583" t="s">
        <v>212</v>
      </c>
      <c r="D99" s="918">
        <v>142.02799999999999</v>
      </c>
      <c r="E99" s="935">
        <v>114.55800000000001</v>
      </c>
      <c r="F99" s="982">
        <f t="shared" si="13"/>
        <v>-0.19341256653617589</v>
      </c>
      <c r="G99" s="935">
        <v>40.052999999999997</v>
      </c>
      <c r="H99" s="982">
        <f t="shared" si="14"/>
        <v>-0.65036924527313678</v>
      </c>
    </row>
    <row r="100" spans="2:8" ht="16.2" customHeight="1">
      <c r="B100" s="582" t="s">
        <v>426</v>
      </c>
      <c r="C100" s="583" t="s">
        <v>429</v>
      </c>
      <c r="D100" s="916">
        <v>-22.614000000000001</v>
      </c>
      <c r="E100" s="985">
        <v>-32.874000000000002</v>
      </c>
      <c r="F100" s="984">
        <f t="shared" si="13"/>
        <v>0.45370124701512338</v>
      </c>
      <c r="G100" s="985">
        <v>-14.317</v>
      </c>
      <c r="H100" s="984">
        <f t="shared" si="14"/>
        <v>-0.56448865364725931</v>
      </c>
    </row>
    <row r="101" spans="2:8" ht="16.2" customHeight="1">
      <c r="B101" s="601" t="s">
        <v>500</v>
      </c>
      <c r="C101" s="593"/>
      <c r="D101" s="917"/>
      <c r="E101" s="934"/>
      <c r="F101" s="983"/>
      <c r="G101" s="934"/>
      <c r="H101" s="983"/>
    </row>
    <row r="102" spans="2:8" ht="16.2" customHeight="1">
      <c r="B102" s="582" t="s">
        <v>425</v>
      </c>
      <c r="C102" s="583" t="s">
        <v>212</v>
      </c>
      <c r="D102" s="918">
        <v>24.19</v>
      </c>
      <c r="E102" s="935">
        <v>0</v>
      </c>
      <c r="F102" s="982">
        <f t="shared" si="13"/>
        <v>-1</v>
      </c>
      <c r="G102" s="935">
        <v>0</v>
      </c>
      <c r="H102" s="982">
        <f t="shared" si="14"/>
        <v>0</v>
      </c>
    </row>
    <row r="103" spans="2:8" ht="16.2" customHeight="1">
      <c r="B103" s="582" t="s">
        <v>426</v>
      </c>
      <c r="C103" s="583" t="s">
        <v>429</v>
      </c>
      <c r="D103" s="916">
        <v>-9.7530000000000001</v>
      </c>
      <c r="E103" s="985">
        <v>-14.260999999999999</v>
      </c>
      <c r="F103" s="984">
        <f t="shared" si="13"/>
        <v>0.46221675381933758</v>
      </c>
      <c r="G103" s="985">
        <v>-19.568000000000001</v>
      </c>
      <c r="H103" s="984">
        <f t="shared" si="14"/>
        <v>0.37213379145922465</v>
      </c>
    </row>
    <row r="104" spans="2:8" ht="16.2" customHeight="1">
      <c r="B104" s="601" t="s">
        <v>428</v>
      </c>
      <c r="C104" s="593"/>
      <c r="D104" s="917"/>
      <c r="E104" s="934"/>
      <c r="F104" s="983"/>
      <c r="G104" s="934"/>
      <c r="H104" s="983"/>
    </row>
    <row r="105" spans="2:8" ht="16.2" customHeight="1">
      <c r="B105" s="582" t="s">
        <v>425</v>
      </c>
      <c r="C105" s="583" t="s">
        <v>212</v>
      </c>
      <c r="D105" s="918">
        <v>0</v>
      </c>
      <c r="E105" s="935">
        <v>0</v>
      </c>
      <c r="F105" s="982">
        <f t="shared" si="13"/>
        <v>0</v>
      </c>
      <c r="G105" s="935">
        <v>424.35500000000002</v>
      </c>
      <c r="H105" s="982">
        <f t="shared" si="14"/>
        <v>0</v>
      </c>
    </row>
    <row r="106" spans="2:8" ht="16.2" customHeight="1">
      <c r="B106" s="582" t="s">
        <v>426</v>
      </c>
      <c r="C106" s="583" t="s">
        <v>429</v>
      </c>
      <c r="D106" s="918">
        <v>0</v>
      </c>
      <c r="E106" s="985">
        <v>-32.368000000000002</v>
      </c>
      <c r="F106" s="984">
        <f t="shared" si="13"/>
        <v>0</v>
      </c>
      <c r="G106" s="985">
        <v>-1321.624</v>
      </c>
      <c r="H106" s="984">
        <f t="shared" si="14"/>
        <v>39.831191300049433</v>
      </c>
    </row>
    <row r="107" spans="2:8" ht="16.2" customHeight="1">
      <c r="B107" s="601" t="s">
        <v>513</v>
      </c>
      <c r="C107" s="593"/>
      <c r="D107" s="917"/>
      <c r="E107" s="934"/>
      <c r="F107" s="983"/>
      <c r="G107" s="934"/>
      <c r="H107" s="983"/>
    </row>
    <row r="108" spans="2:8" ht="16.2" customHeight="1">
      <c r="B108" s="582" t="s">
        <v>425</v>
      </c>
      <c r="C108" s="583" t="s">
        <v>212</v>
      </c>
      <c r="D108" s="918">
        <v>0</v>
      </c>
      <c r="E108" s="935">
        <v>1323.354</v>
      </c>
      <c r="F108" s="982">
        <f t="shared" si="13"/>
        <v>0</v>
      </c>
      <c r="G108" s="935">
        <v>5439.6229999999996</v>
      </c>
      <c r="H108" s="982">
        <f t="shared" si="14"/>
        <v>3.1104821536792118</v>
      </c>
    </row>
    <row r="109" spans="2:8" ht="16.2" customHeight="1">
      <c r="B109" s="582" t="s">
        <v>426</v>
      </c>
      <c r="C109" s="583" t="s">
        <v>429</v>
      </c>
      <c r="D109" s="918">
        <v>0</v>
      </c>
      <c r="E109" s="933">
        <v>-670.15300000000002</v>
      </c>
      <c r="F109" s="982">
        <f t="shared" si="13"/>
        <v>0</v>
      </c>
      <c r="G109" s="935">
        <v>130.733</v>
      </c>
      <c r="H109" s="982">
        <f t="shared" si="14"/>
        <v>-1.1950793326300113</v>
      </c>
    </row>
    <row r="110" spans="2:8" ht="16.2" customHeight="1">
      <c r="B110" s="601" t="s">
        <v>427</v>
      </c>
      <c r="C110" s="593"/>
      <c r="D110" s="917"/>
      <c r="E110" s="934"/>
      <c r="F110" s="983"/>
      <c r="G110" s="934"/>
      <c r="H110" s="983"/>
    </row>
    <row r="111" spans="2:8" ht="16.2" customHeight="1">
      <c r="B111" s="582" t="s">
        <v>425</v>
      </c>
      <c r="C111" s="583" t="s">
        <v>212</v>
      </c>
      <c r="D111" s="918">
        <v>0</v>
      </c>
      <c r="E111" s="935">
        <v>0</v>
      </c>
      <c r="F111" s="982">
        <f t="shared" si="13"/>
        <v>0</v>
      </c>
      <c r="G111" s="935">
        <v>0</v>
      </c>
      <c r="H111" s="982">
        <f t="shared" si="14"/>
        <v>0</v>
      </c>
    </row>
    <row r="112" spans="2:8" ht="16.2" customHeight="1">
      <c r="B112" s="582" t="s">
        <v>426</v>
      </c>
      <c r="C112" s="583" t="s">
        <v>429</v>
      </c>
      <c r="D112" s="918">
        <v>0</v>
      </c>
      <c r="E112" s="936">
        <v>0</v>
      </c>
      <c r="F112" s="984">
        <f t="shared" si="13"/>
        <v>0</v>
      </c>
      <c r="G112" s="936">
        <v>0</v>
      </c>
      <c r="H112" s="984">
        <f t="shared" si="14"/>
        <v>0</v>
      </c>
    </row>
    <row r="113" spans="2:8" ht="16.2" customHeight="1">
      <c r="B113" s="601" t="s">
        <v>483</v>
      </c>
      <c r="C113" s="593"/>
      <c r="D113" s="917"/>
      <c r="E113" s="934"/>
      <c r="F113" s="983"/>
      <c r="G113" s="934"/>
      <c r="H113" s="983"/>
    </row>
    <row r="114" spans="2:8" ht="16.2" customHeight="1">
      <c r="B114" s="582" t="s">
        <v>425</v>
      </c>
      <c r="C114" s="583" t="s">
        <v>212</v>
      </c>
      <c r="D114" s="918">
        <v>0</v>
      </c>
      <c r="E114" s="935">
        <v>0</v>
      </c>
      <c r="F114" s="982">
        <f t="shared" si="13"/>
        <v>0</v>
      </c>
      <c r="G114" s="935">
        <v>0</v>
      </c>
      <c r="H114" s="982">
        <f t="shared" si="14"/>
        <v>0</v>
      </c>
    </row>
    <row r="115" spans="2:8" ht="16.2" customHeight="1">
      <c r="B115" s="582" t="s">
        <v>426</v>
      </c>
      <c r="C115" s="583" t="s">
        <v>429</v>
      </c>
      <c r="D115" s="918">
        <v>0</v>
      </c>
      <c r="E115" s="936">
        <v>0</v>
      </c>
      <c r="F115" s="984">
        <f t="shared" si="13"/>
        <v>0</v>
      </c>
      <c r="G115" s="936">
        <v>0</v>
      </c>
      <c r="H115" s="984">
        <f t="shared" si="14"/>
        <v>0</v>
      </c>
    </row>
    <row r="116" spans="2:8" ht="16.2" customHeight="1">
      <c r="B116" s="601" t="s">
        <v>512</v>
      </c>
      <c r="C116" s="593"/>
      <c r="D116" s="917"/>
      <c r="E116" s="934"/>
      <c r="F116" s="983"/>
      <c r="G116" s="934"/>
      <c r="H116" s="983"/>
    </row>
    <row r="117" spans="2:8" ht="16.2" customHeight="1">
      <c r="B117" s="582" t="s">
        <v>425</v>
      </c>
      <c r="C117" s="583" t="s">
        <v>212</v>
      </c>
      <c r="D117" s="918">
        <v>0</v>
      </c>
      <c r="E117" s="935">
        <v>0</v>
      </c>
      <c r="F117" s="982">
        <f t="shared" si="13"/>
        <v>0</v>
      </c>
      <c r="G117" s="935">
        <v>0</v>
      </c>
      <c r="H117" s="982">
        <f t="shared" si="14"/>
        <v>0</v>
      </c>
    </row>
    <row r="118" spans="2:8" ht="16.2" customHeight="1">
      <c r="B118" s="611" t="s">
        <v>426</v>
      </c>
      <c r="C118" s="763" t="s">
        <v>429</v>
      </c>
      <c r="D118" s="919">
        <v>0</v>
      </c>
      <c r="E118" s="936">
        <v>0</v>
      </c>
      <c r="F118" s="984">
        <f t="shared" si="13"/>
        <v>0</v>
      </c>
      <c r="G118" s="936">
        <v>0</v>
      </c>
      <c r="H118" s="984">
        <f t="shared" si="14"/>
        <v>0</v>
      </c>
    </row>
  </sheetData>
  <phoneticPr fontId="3" type="noConversion"/>
  <conditionalFormatting sqref="F1 H1:AA1 M4:M23 I24:AA25 J27:K28 M27:M41 O27:P41 R27:S41 U27:V41 X27:Y41 AC27:AC41 F27:F43 H27:H43 I42:AA43 J45:K57 M45:M57 O45:P57 R45:S57 U45:V57 X45:Y57 AC45:AC57 D59:F59 G59:H61 E60:F60 D61:F61 D119:H1048576">
    <cfRule type="cellIs" dxfId="62" priority="148" operator="lessThan">
      <formula>0</formula>
    </cfRule>
    <cfRule type="cellIs" dxfId="61" priority="149" operator="greaterThan">
      <formula>0</formula>
    </cfRule>
  </conditionalFormatting>
  <conditionalFormatting sqref="F45:F58">
    <cfRule type="cellIs" dxfId="60" priority="9" operator="lessThan">
      <formula>0</formula>
    </cfRule>
    <cfRule type="cellIs" dxfId="59" priority="10" operator="greaterThan">
      <formula>0</formula>
    </cfRule>
  </conditionalFormatting>
  <conditionalFormatting sqref="F63:F85">
    <cfRule type="cellIs" dxfId="58" priority="15" operator="lessThan">
      <formula>0</formula>
    </cfRule>
    <cfRule type="cellIs" dxfId="57" priority="16" operator="greaterThan">
      <formula>0</formula>
    </cfRule>
  </conditionalFormatting>
  <conditionalFormatting sqref="F89:F118">
    <cfRule type="cellIs" dxfId="56" priority="3" operator="lessThan">
      <formula>0</formula>
    </cfRule>
    <cfRule type="cellIs" dxfId="55" priority="4" operator="greaterThan">
      <formula>0</formula>
    </cfRule>
  </conditionalFormatting>
  <conditionalFormatting sqref="H45:H58">
    <cfRule type="cellIs" dxfId="54" priority="7" operator="lessThan">
      <formula>0</formula>
    </cfRule>
    <cfRule type="cellIs" dxfId="53" priority="8" operator="greaterThan">
      <formula>0</formula>
    </cfRule>
  </conditionalFormatting>
  <conditionalFormatting sqref="H63:H85">
    <cfRule type="cellIs" dxfId="52" priority="5" operator="lessThan">
      <formula>0</formula>
    </cfRule>
    <cfRule type="cellIs" dxfId="51" priority="6" operator="greaterThan">
      <formula>0</formula>
    </cfRule>
  </conditionalFormatting>
  <conditionalFormatting sqref="H89:H118">
    <cfRule type="cellIs" dxfId="50" priority="1" operator="lessThan">
      <formula>0</formula>
    </cfRule>
    <cfRule type="cellIs" dxfId="49" priority="2" operator="greaterThan">
      <formula>0</formula>
    </cfRule>
  </conditionalFormatting>
  <conditionalFormatting sqref="J4:K23 O4:P23 R4:S23 U4:V23 X4:Y23 AC4:AC23 F4:F25 H4:H25">
    <cfRule type="cellIs" dxfId="48" priority="53" operator="lessThan">
      <formula>0</formula>
    </cfRule>
    <cfRule type="cellIs" dxfId="47" priority="54" operator="greaterThan">
      <formula>0</formula>
    </cfRule>
  </conditionalFormatting>
  <conditionalFormatting sqref="K29 J30:K41">
    <cfRule type="cellIs" dxfId="46" priority="257" operator="lessThan">
      <formula>0</formula>
    </cfRule>
    <cfRule type="cellIs" dxfId="45" priority="258" operator="greaterThan">
      <formula>0</formula>
    </cfRule>
  </conditionalFormatting>
  <conditionalFormatting sqref="AB3:AB23">
    <cfRule type="cellIs" dxfId="44" priority="168" operator="equal">
      <formula>0</formula>
    </cfRule>
  </conditionalFormatting>
  <conditionalFormatting sqref="AB26:AB27">
    <cfRule type="cellIs" dxfId="43" priority="152" operator="equal">
      <formula>0</formula>
    </cfRule>
  </conditionalFormatting>
  <conditionalFormatting sqref="AB30">
    <cfRule type="cellIs" dxfId="42" priority="166" operator="equal">
      <formula>0</formula>
    </cfRule>
  </conditionalFormatting>
  <conditionalFormatting sqref="AB33">
    <cfRule type="cellIs" dxfId="41" priority="85" operator="equal">
      <formula>0</formula>
    </cfRule>
  </conditionalFormatting>
  <conditionalFormatting sqref="AB36:AB37">
    <cfRule type="cellIs" dxfId="40" priority="153" operator="equal">
      <formula>0</formula>
    </cfRule>
  </conditionalFormatting>
  <conditionalFormatting sqref="AB45">
    <cfRule type="cellIs" dxfId="39" priority="162" operator="equal">
      <formula>0</formula>
    </cfRule>
  </conditionalFormatting>
  <conditionalFormatting sqref="AB48">
    <cfRule type="cellIs" dxfId="38" priority="161" operator="equal">
      <formula>0</formula>
    </cfRule>
  </conditionalFormatting>
  <conditionalFormatting sqref="AB51">
    <cfRule type="cellIs" dxfId="37" priority="158" operator="equal">
      <formula>0</formula>
    </cfRule>
  </conditionalFormatting>
  <conditionalFormatting sqref="AB54:AB55">
    <cfRule type="cellIs" dxfId="36" priority="29" operator="equal">
      <formula>0</formula>
    </cfRule>
  </conditionalFormatting>
  <pageMargins left="0.23622047244094491" right="0.23622047244094491" top="0.74803149606299213" bottom="0.74803149606299213" header="0.31496062992125984" footer="0.31496062992125984"/>
  <pageSetup paperSize="9" scale="80" fitToWidth="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문서" ma:contentTypeID="0x010100C0BFC890B10D5A409D5992D8E9103205" ma:contentTypeVersion="14" ma:contentTypeDescription="새 문서를 만듭니다." ma:contentTypeScope="" ma:versionID="cbb39b35b309a06f12071e432024f667">
  <xsd:schema xmlns:xsd="http://www.w3.org/2001/XMLSchema" xmlns:xs="http://www.w3.org/2001/XMLSchema" xmlns:p="http://schemas.microsoft.com/office/2006/metadata/properties" xmlns:ns2="c64ffd61-c081-42c0-bcae-bdcccf0304c4" xmlns:ns3="80ef5aa2-b88a-4c75-99e8-f43376ee2b42" targetNamespace="http://schemas.microsoft.com/office/2006/metadata/properties" ma:root="true" ma:fieldsID="2bd8c4028d116e13c679ad05cb952929" ns2:_="" ns3:_="">
    <xsd:import namespace="c64ffd61-c081-42c0-bcae-bdcccf0304c4"/>
    <xsd:import namespace="80ef5aa2-b88a-4c75-99e8-f43376ee2b4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64ffd61-c081-42c0-bcae-bdcccf0304c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이미지 태그" ma:readOnly="false" ma:fieldId="{5cf76f15-5ced-4ddc-b409-7134ff3c332f}" ma:taxonomyMulti="true" ma:sspId="5410372f-e37a-409f-baf7-dae9795ed345"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0ef5aa2-b88a-4c75-99e8-f43376ee2b4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ab8d18a-282d-472d-bb52-02b1614080d1}" ma:internalName="TaxCatchAll" ma:showField="CatchAllData" ma:web="80ef5aa2-b88a-4c75-99e8-f43376ee2b4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콘텐츠 형식"/>
        <xsd:element ref="dc:title" minOccurs="0" maxOccurs="1" ma:index="4" ma:displayName="제목"/>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80ef5aa2-b88a-4c75-99e8-f43376ee2b42" xsi:nil="true"/>
    <lcf76f155ced4ddcb4097134ff3c332f xmlns="c64ffd61-c081-42c0-bcae-bdcccf0304c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5E8A125-0110-45AB-9A91-7494021E827B}">
  <ds:schemaRefs>
    <ds:schemaRef ds:uri="http://schemas.microsoft.com/sharepoint/v3/contenttype/forms"/>
  </ds:schemaRefs>
</ds:datastoreItem>
</file>

<file path=customXml/itemProps2.xml><?xml version="1.0" encoding="utf-8"?>
<ds:datastoreItem xmlns:ds="http://schemas.openxmlformats.org/officeDocument/2006/customXml" ds:itemID="{C2011EC1-811F-4352-A40F-32F24E937C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64ffd61-c081-42c0-bcae-bdcccf0304c4"/>
    <ds:schemaRef ds:uri="80ef5aa2-b88a-4c75-99e8-f43376ee2b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38DE0BD-6823-4E59-A85F-AECE2DA7EC4A}">
  <ds:schemaRefs>
    <ds:schemaRef ds:uri="c64ffd61-c081-42c0-bcae-bdcccf0304c4"/>
    <ds:schemaRef ds:uri="http://schemas.microsoft.com/office/2006/metadata/properties"/>
    <ds:schemaRef ds:uri="http://schemas.openxmlformats.org/package/2006/metadata/core-properties"/>
    <ds:schemaRef ds:uri="http://schemas.microsoft.com/office/infopath/2007/PartnerControls"/>
    <ds:schemaRef ds:uri="http://schemas.microsoft.com/office/2006/documentManagement/types"/>
    <ds:schemaRef ds:uri="http://purl.org/dc/elements/1.1/"/>
    <ds:schemaRef ds:uri="http://purl.org/dc/dcmitype/"/>
    <ds:schemaRef ds:uri="http://purl.org/dc/terms/"/>
    <ds:schemaRef ds:uri="http://www.w3.org/XML/1998/namespace"/>
    <ds:schemaRef ds:uri="80ef5aa2-b88a-4c75-99e8-f43376ee2b4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16</vt:i4>
      </vt:variant>
      <vt:variant>
        <vt:lpstr>이름 지정된 범위</vt:lpstr>
      </vt:variant>
      <vt:variant>
        <vt:i4>14</vt:i4>
      </vt:variant>
    </vt:vector>
  </HeadingPairs>
  <TitlesOfParts>
    <vt:vector size="30" baseType="lpstr">
      <vt:lpstr>Quarterly&gt;&gt;</vt:lpstr>
      <vt:lpstr>Q_IS</vt:lpstr>
      <vt:lpstr>Q_SG&amp;A</vt:lpstr>
      <vt:lpstr>YTD Quarterly&gt;&gt;</vt:lpstr>
      <vt:lpstr>C_IS</vt:lpstr>
      <vt:lpstr>C_SG&amp;A</vt:lpstr>
      <vt:lpstr>C_BS</vt:lpstr>
      <vt:lpstr>Annually&gt;&gt;</vt:lpstr>
      <vt:lpstr>Y_IS</vt:lpstr>
      <vt:lpstr>Y_SG&amp;A</vt:lpstr>
      <vt:lpstr>Y_BS</vt:lpstr>
      <vt:lpstr>IR BOOK&gt;&gt;</vt:lpstr>
      <vt:lpstr>PL</vt:lpstr>
      <vt:lpstr>Brand</vt:lpstr>
      <vt:lpstr>SG&amp;A</vt:lpstr>
      <vt:lpstr>BS</vt:lpstr>
      <vt:lpstr>C_BS!Print_Area</vt:lpstr>
      <vt:lpstr>C_IS!Print_Area</vt:lpstr>
      <vt:lpstr>'C_SG&amp;A'!Print_Area</vt:lpstr>
      <vt:lpstr>Q_IS!Print_Area</vt:lpstr>
      <vt:lpstr>'Q_SG&amp;A'!Print_Area</vt:lpstr>
      <vt:lpstr>Y_BS!Print_Area</vt:lpstr>
      <vt:lpstr>Y_IS!Print_Area</vt:lpstr>
      <vt:lpstr>'Y_SG&amp;A'!Print_Area</vt:lpstr>
      <vt:lpstr>C_BS!Print_Titles</vt:lpstr>
      <vt:lpstr>'C_SG&amp;A'!Print_Titles</vt:lpstr>
      <vt:lpstr>'Q_SG&amp;A'!Print_Titles</vt:lpstr>
      <vt:lpstr>Y_BS!Print_Titles</vt:lpstr>
      <vt:lpstr>Y_IS!Print_Titles</vt:lpstr>
      <vt:lpstr>'Y_SG&amp;A'!Print_Titles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User</dc:creator>
  <cp:keywords/>
  <dc:description/>
  <cp:lastModifiedBy>이지연A</cp:lastModifiedBy>
  <cp:revision/>
  <cp:lastPrinted>2025-07-15T08:07:39Z</cp:lastPrinted>
  <dcterms:created xsi:type="dcterms:W3CDTF">2018-02-06T21:15:38Z</dcterms:created>
  <dcterms:modified xsi:type="dcterms:W3CDTF">2026-08-12T00:23:02Z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0x010100C0BFC890B10D5A409D5992D8E9103205</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