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kederm3d002.sharepoint.com/sites/01.IRnew/Shared Documents/02.IR/01.01.02. IR Material/"/>
    </mc:Choice>
  </mc:AlternateContent>
  <xr:revisionPtr revIDLastSave="540" documentId="8_{0AFB425B-7B98-491C-9312-BB98DC022FFC}" xr6:coauthVersionLast="47" xr6:coauthVersionMax="47" xr10:uidLastSave="{E983A437-9989-44A3-9825-CE3EFDB3F825}"/>
  <bookViews>
    <workbookView xWindow="-108" yWindow="-108" windowWidth="23256" windowHeight="12456" tabRatio="956" activeTab="1" xr2:uid="{00000000-000D-0000-FFFF-FFFF00000000}"/>
  </bookViews>
  <sheets>
    <sheet name="Quarterly&gt;&gt;" sheetId="12" r:id="rId1"/>
    <sheet name="2025 IS_Quarterly" sheetId="8" r:id="rId2"/>
    <sheet name="SG&amp;A_Quarterly" sheetId="10" r:id="rId3"/>
    <sheet name="BS_Quarterly" sheetId="4" r:id="rId4"/>
    <sheet name="YTD Quarterly&gt;&gt;" sheetId="23" r:id="rId5"/>
    <sheet name="2025 IS_YTD" sheetId="26" r:id="rId6"/>
    <sheet name="SG&amp;A_YTD" sheetId="27" r:id="rId7"/>
    <sheet name="Annually&gt;&gt;" sheetId="13" r:id="rId8"/>
    <sheet name="2025 IS_Annually" sheetId="7" r:id="rId9"/>
    <sheet name="SG&amp;A_Annually" sheetId="5" r:id="rId10"/>
    <sheet name="BS_Annually" sheetId="11" r:id="rId11"/>
    <sheet name="Previous Ver(~2024)&gt;&gt;" sheetId="31" r:id="rId12"/>
    <sheet name="~2024 IS_Quarterly" sheetId="28" r:id="rId13"/>
    <sheet name="~2024 IS_YTD" sheetId="30" r:id="rId14"/>
    <sheet name="~2024 IS_Annually" sheetId="29" r:id="rId15"/>
    <sheet name="IR BOOK&gt;&gt;" sheetId="19" r:id="rId16"/>
    <sheet name="PL" sheetId="20" r:id="rId17"/>
    <sheet name="Brand" sheetId="21" r:id="rId18"/>
    <sheet name="SG&amp;A" sheetId="18" r:id="rId19"/>
    <sheet name="BS" sheetId="22" r:id="rId20"/>
  </sheets>
  <definedNames>
    <definedName name="_xlnm._FilterDatabase" localSheetId="8" hidden="1">'2025 IS_Annually'!$B$3:$D$41</definedName>
    <definedName name="_xlnm._FilterDatabase" localSheetId="1" hidden="1">'2025 IS_Quarterly'!$B$3:$J$23</definedName>
    <definedName name="_xlnm._FilterDatabase" localSheetId="5" hidden="1">'2025 IS_YTD'!$B$3:$H$23</definedName>
    <definedName name="_xlnm._FilterDatabase" localSheetId="10" hidden="1">BS_Annually!$A$1:$D$51</definedName>
    <definedName name="_xlnm._FilterDatabase" localSheetId="9" hidden="1">'SG&amp;A_Annually'!$B$2:$C$2</definedName>
    <definedName name="_xlnm._FilterDatabase" localSheetId="2" hidden="1">'SG&amp;A_Quarterly'!$A$2:$CD$2</definedName>
    <definedName name="_xlnm._FilterDatabase" localSheetId="6" hidden="1">'SG&amp;A_YTD'!$B$2:$C$2</definedName>
    <definedName name="_xlnm.Print_Area" localSheetId="12">'~2024 IS_Quarterly'!$A$1:$CN$71</definedName>
    <definedName name="_xlnm.Print_Area" localSheetId="13">'~2024 IS_YTD'!$A$1:$AF$71</definedName>
    <definedName name="_xlnm.Print_Area" localSheetId="8">'2025 IS_Annually'!$A$1:$F$59</definedName>
    <definedName name="_xlnm.Print_Area" localSheetId="1">'2025 IS_Quarterly'!$A$1:$P$59</definedName>
    <definedName name="_xlnm.Print_Area" localSheetId="5">'2025 IS_YTD'!$A$1:$L$59</definedName>
    <definedName name="_xlnm.Print_Area" localSheetId="10">BS_Annually!$A$1:$T$52</definedName>
    <definedName name="_xlnm.Print_Area" localSheetId="3">BS_Quarterly!$A$1:$CO$52</definedName>
    <definedName name="_xlnm.Print_Area" localSheetId="9">'SG&amp;A_Annually'!$A$1:$S$36</definedName>
    <definedName name="_xlnm.Print_Area" localSheetId="2">'SG&amp;A_Quarterly'!$A$1:$CN$36</definedName>
    <definedName name="_xlnm.Print_Area" localSheetId="6">'SG&amp;A_YTD'!$A$1:$AJ$36</definedName>
    <definedName name="_xlnm.Print_Titles" localSheetId="8">'2025 IS_Annually'!$C:$C</definedName>
    <definedName name="_xlnm.Print_Titles" localSheetId="10">BS_Annually!$C:$D</definedName>
    <definedName name="_xlnm.Print_Titles" localSheetId="3">BS_Quarterly!$C:$D</definedName>
    <definedName name="_xlnm.Print_Titles" localSheetId="9">'SG&amp;A_Annually'!$B:$C</definedName>
    <definedName name="_xlnm.Print_Titles" localSheetId="2">'SG&amp;A_Quarterly'!$B:$C</definedName>
    <definedName name="_xlnm.Print_Titles" localSheetId="6">'SG&amp;A_YTD'!$B:$C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8" i="4" l="1"/>
  <c r="CK90" i="4"/>
  <c r="CK89" i="4"/>
  <c r="CJ89" i="4"/>
  <c r="CK88" i="4"/>
  <c r="CJ88" i="4"/>
  <c r="CK87" i="4"/>
  <c r="CJ87" i="4"/>
  <c r="CK84" i="4"/>
  <c r="CJ84" i="4"/>
  <c r="CK83" i="4"/>
  <c r="CJ83" i="4"/>
  <c r="CK82" i="4"/>
  <c r="CJ82" i="4"/>
  <c r="CK81" i="4"/>
  <c r="CJ81" i="4"/>
  <c r="CK80" i="4"/>
  <c r="CJ80" i="4"/>
  <c r="CH89" i="4"/>
  <c r="CG89" i="4"/>
  <c r="CH88" i="4"/>
  <c r="CG88" i="4"/>
  <c r="CH87" i="4"/>
  <c r="CG87" i="4"/>
  <c r="CH84" i="4"/>
  <c r="CG84" i="4"/>
  <c r="CH83" i="4"/>
  <c r="CG83" i="4"/>
  <c r="CH82" i="4"/>
  <c r="CG82" i="4"/>
  <c r="CH81" i="4"/>
  <c r="CG81" i="4"/>
  <c r="CH80" i="4"/>
  <c r="CG80" i="4"/>
  <c r="CE90" i="4"/>
  <c r="CD90" i="4"/>
  <c r="CE89" i="4"/>
  <c r="CD89" i="4"/>
  <c r="CE88" i="4"/>
  <c r="CD88" i="4"/>
  <c r="CE87" i="4"/>
  <c r="CD87" i="4"/>
  <c r="CE84" i="4"/>
  <c r="CD84" i="4"/>
  <c r="CE83" i="4"/>
  <c r="CD83" i="4"/>
  <c r="CE82" i="4"/>
  <c r="CD82" i="4"/>
  <c r="CE81" i="4"/>
  <c r="CD81" i="4"/>
  <c r="CE80" i="4"/>
  <c r="CD80" i="4"/>
  <c r="CB90" i="4"/>
  <c r="CA90" i="4"/>
  <c r="CB89" i="4"/>
  <c r="CA89" i="4"/>
  <c r="CB88" i="4"/>
  <c r="CA88" i="4"/>
  <c r="CB87" i="4"/>
  <c r="CA87" i="4"/>
  <c r="CB84" i="4"/>
  <c r="CA84" i="4"/>
  <c r="CB83" i="4"/>
  <c r="CA83" i="4"/>
  <c r="CB82" i="4"/>
  <c r="CA82" i="4"/>
  <c r="CB81" i="4"/>
  <c r="CA81" i="4"/>
  <c r="CB80" i="4"/>
  <c r="CA80" i="4"/>
  <c r="CA79" i="4"/>
  <c r="CB79" i="4"/>
  <c r="D54" i="11"/>
  <c r="C54" i="11"/>
  <c r="D2" i="11"/>
  <c r="C2" i="11"/>
  <c r="C2" i="27"/>
  <c r="B2" i="27"/>
  <c r="C62" i="7"/>
  <c r="B62" i="7"/>
  <c r="C44" i="7"/>
  <c r="C26" i="7"/>
  <c r="C3" i="7"/>
  <c r="C62" i="26"/>
  <c r="B62" i="26"/>
  <c r="C44" i="26"/>
  <c r="C26" i="26"/>
  <c r="C3" i="26"/>
  <c r="D86" i="11"/>
  <c r="D79" i="11"/>
  <c r="C79" i="11"/>
  <c r="H20" i="26"/>
  <c r="H40" i="26"/>
  <c r="I40" i="26" s="1"/>
  <c r="D40" i="26"/>
  <c r="E40" i="26" s="1"/>
  <c r="F40" i="26" s="1"/>
  <c r="G40" i="26" s="1"/>
  <c r="H36" i="26"/>
  <c r="I36" i="26" s="1"/>
  <c r="J36" i="26" s="1"/>
  <c r="D36" i="26"/>
  <c r="E36" i="26" s="1"/>
  <c r="F36" i="26" s="1"/>
  <c r="G36" i="26" s="1"/>
  <c r="H35" i="26"/>
  <c r="I35" i="26" s="1"/>
  <c r="J35" i="26" s="1"/>
  <c r="D35" i="26"/>
  <c r="E35" i="26" s="1"/>
  <c r="F35" i="26" s="1"/>
  <c r="G35" i="26" s="1"/>
  <c r="H34" i="26"/>
  <c r="I34" i="26" s="1"/>
  <c r="J34" i="26" s="1"/>
  <c r="D34" i="26"/>
  <c r="E34" i="26" s="1"/>
  <c r="F34" i="26" s="1"/>
  <c r="G34" i="26" s="1"/>
  <c r="H32" i="26"/>
  <c r="I32" i="26" s="1"/>
  <c r="J32" i="26" s="1"/>
  <c r="D32" i="26"/>
  <c r="E32" i="26" s="1"/>
  <c r="F32" i="26" s="1"/>
  <c r="G32" i="26" s="1"/>
  <c r="H31" i="26"/>
  <c r="I31" i="26" s="1"/>
  <c r="J31" i="26" s="1"/>
  <c r="D31" i="26"/>
  <c r="E31" i="26" s="1"/>
  <c r="F31" i="26" s="1"/>
  <c r="G31" i="26" s="1"/>
  <c r="H29" i="26"/>
  <c r="I29" i="26" s="1"/>
  <c r="J29" i="26" s="1"/>
  <c r="D29" i="26"/>
  <c r="E29" i="26" s="1"/>
  <c r="F29" i="26" s="1"/>
  <c r="G29" i="26" s="1"/>
  <c r="H28" i="26"/>
  <c r="I28" i="26" s="1"/>
  <c r="J28" i="26" s="1"/>
  <c r="D28" i="26"/>
  <c r="E28" i="26" s="1"/>
  <c r="F28" i="26" s="1"/>
  <c r="G28" i="26" s="1"/>
  <c r="D22" i="26"/>
  <c r="E22" i="26" s="1"/>
  <c r="F22" i="26" s="1"/>
  <c r="G22" i="26" s="1"/>
  <c r="H21" i="26"/>
  <c r="I21" i="26" s="1"/>
  <c r="J21" i="26" s="1"/>
  <c r="D21" i="26"/>
  <c r="E21" i="26" s="1"/>
  <c r="F21" i="26" s="1"/>
  <c r="G21" i="26" s="1"/>
  <c r="H19" i="26"/>
  <c r="I19" i="26" s="1"/>
  <c r="J19" i="26" s="1"/>
  <c r="D19" i="26"/>
  <c r="E19" i="26" s="1"/>
  <c r="F19" i="26" s="1"/>
  <c r="G19" i="26" s="1"/>
  <c r="G20" i="26" s="1"/>
  <c r="D18" i="26"/>
  <c r="E18" i="26" s="1"/>
  <c r="F18" i="26" s="1"/>
  <c r="G18" i="26" s="1"/>
  <c r="D16" i="26"/>
  <c r="E16" i="26" s="1"/>
  <c r="F16" i="26" s="1"/>
  <c r="G16" i="26" s="1"/>
  <c r="H15" i="26"/>
  <c r="I15" i="26" s="1"/>
  <c r="J15" i="26" s="1"/>
  <c r="D15" i="26"/>
  <c r="E15" i="26" s="1"/>
  <c r="F15" i="26" s="1"/>
  <c r="G15" i="26" s="1"/>
  <c r="H13" i="26"/>
  <c r="I13" i="26" s="1"/>
  <c r="J13" i="26" s="1"/>
  <c r="D13" i="26"/>
  <c r="E13" i="26" s="1"/>
  <c r="F13" i="26" s="1"/>
  <c r="G13" i="26" s="1"/>
  <c r="D11" i="26"/>
  <c r="E11" i="26" s="1"/>
  <c r="F11" i="26" s="1"/>
  <c r="G11" i="26" s="1"/>
  <c r="H9" i="26"/>
  <c r="I9" i="26" s="1"/>
  <c r="J9" i="26" s="1"/>
  <c r="D9" i="26"/>
  <c r="E9" i="26" s="1"/>
  <c r="F9" i="26" s="1"/>
  <c r="G9" i="26" s="1"/>
  <c r="D7" i="26"/>
  <c r="E7" i="26" s="1"/>
  <c r="F7" i="26" s="1"/>
  <c r="G7" i="26" s="1"/>
  <c r="H5" i="26"/>
  <c r="I5" i="26" s="1"/>
  <c r="J5" i="26" s="1"/>
  <c r="D5" i="26"/>
  <c r="E5" i="26" s="1"/>
  <c r="F5" i="26" s="1"/>
  <c r="G5" i="26" s="1"/>
  <c r="G6" i="26" s="1"/>
  <c r="H4" i="26"/>
  <c r="I4" i="26" s="1"/>
  <c r="J4" i="26" s="1"/>
  <c r="D4" i="26"/>
  <c r="E4" i="26" s="1"/>
  <c r="F4" i="26" s="1"/>
  <c r="G4" i="26" s="1"/>
  <c r="G10" i="26" s="1"/>
  <c r="H74" i="26"/>
  <c r="I74" i="26" s="1"/>
  <c r="J74" i="26" s="1"/>
  <c r="D74" i="26"/>
  <c r="E74" i="26" s="1"/>
  <c r="F74" i="26" s="1"/>
  <c r="H73" i="26"/>
  <c r="I73" i="26" s="1"/>
  <c r="J73" i="26" s="1"/>
  <c r="D73" i="26"/>
  <c r="H72" i="26"/>
  <c r="I72" i="26" s="1"/>
  <c r="J72" i="26" s="1"/>
  <c r="D72" i="26"/>
  <c r="E72" i="26" s="1"/>
  <c r="F72" i="26" s="1"/>
  <c r="H71" i="26"/>
  <c r="I71" i="26" s="1"/>
  <c r="J71" i="26" s="1"/>
  <c r="D71" i="26"/>
  <c r="E71" i="26" s="1"/>
  <c r="F71" i="26" s="1"/>
  <c r="H70" i="26"/>
  <c r="I70" i="26" s="1"/>
  <c r="J70" i="26" s="1"/>
  <c r="D70" i="26"/>
  <c r="E70" i="26" s="1"/>
  <c r="F70" i="26" s="1"/>
  <c r="G70" i="26" s="1"/>
  <c r="H69" i="26"/>
  <c r="I69" i="26" s="1"/>
  <c r="J69" i="26" s="1"/>
  <c r="D69" i="26"/>
  <c r="E69" i="26" s="1"/>
  <c r="H67" i="26"/>
  <c r="I67" i="26" s="1"/>
  <c r="J67" i="26" s="1"/>
  <c r="D67" i="26"/>
  <c r="E67" i="26" s="1"/>
  <c r="F67" i="26" s="1"/>
  <c r="H66" i="26"/>
  <c r="I66" i="26" s="1"/>
  <c r="J66" i="26" s="1"/>
  <c r="D66" i="26"/>
  <c r="H65" i="26"/>
  <c r="I65" i="26" s="1"/>
  <c r="J65" i="26" s="1"/>
  <c r="D65" i="26"/>
  <c r="E65" i="26" s="1"/>
  <c r="F65" i="26" s="1"/>
  <c r="D64" i="26"/>
  <c r="E64" i="26" s="1"/>
  <c r="F64" i="26" s="1"/>
  <c r="H16" i="8"/>
  <c r="H16" i="26" s="1"/>
  <c r="I16" i="26" s="1"/>
  <c r="J16" i="26" s="1"/>
  <c r="H14" i="8"/>
  <c r="H14" i="26" s="1"/>
  <c r="I14" i="26" s="1"/>
  <c r="J14" i="26" s="1"/>
  <c r="D16" i="8"/>
  <c r="D14" i="8"/>
  <c r="D17" i="8" s="1"/>
  <c r="D17" i="26" s="1"/>
  <c r="E17" i="26" s="1"/>
  <c r="F17" i="26" s="1"/>
  <c r="G17" i="26" s="1"/>
  <c r="D68" i="7"/>
  <c r="D63" i="7"/>
  <c r="C74" i="7"/>
  <c r="B74" i="7"/>
  <c r="C73" i="7"/>
  <c r="B73" i="7"/>
  <c r="C72" i="7"/>
  <c r="B72" i="7"/>
  <c r="C71" i="7"/>
  <c r="B71" i="7"/>
  <c r="C70" i="7"/>
  <c r="B70" i="7"/>
  <c r="C69" i="7"/>
  <c r="B69" i="7"/>
  <c r="C68" i="7"/>
  <c r="B68" i="7"/>
  <c r="C67" i="7"/>
  <c r="B67" i="7"/>
  <c r="C66" i="7"/>
  <c r="B66" i="7"/>
  <c r="C65" i="7"/>
  <c r="B65" i="7"/>
  <c r="C64" i="7"/>
  <c r="B64" i="7"/>
  <c r="C63" i="7"/>
  <c r="B63" i="7"/>
  <c r="E58" i="7"/>
  <c r="C74" i="26"/>
  <c r="B74" i="26"/>
  <c r="C73" i="26"/>
  <c r="B73" i="26"/>
  <c r="C72" i="26"/>
  <c r="B72" i="26"/>
  <c r="C71" i="26"/>
  <c r="B71" i="26"/>
  <c r="C70" i="26"/>
  <c r="B70" i="26"/>
  <c r="C69" i="26"/>
  <c r="B69" i="26"/>
  <c r="C68" i="26"/>
  <c r="B68" i="26"/>
  <c r="C67" i="26"/>
  <c r="B67" i="26"/>
  <c r="C66" i="26"/>
  <c r="B66" i="26"/>
  <c r="C65" i="26"/>
  <c r="B65" i="26"/>
  <c r="C64" i="26"/>
  <c r="B64" i="26"/>
  <c r="C63" i="26"/>
  <c r="B63" i="26"/>
  <c r="H64" i="26"/>
  <c r="I64" i="26" s="1"/>
  <c r="J64" i="26" s="1"/>
  <c r="BW79" i="4"/>
  <c r="BZ84" i="4"/>
  <c r="CI84" i="4"/>
  <c r="CF84" i="4"/>
  <c r="CC84" i="4"/>
  <c r="CC79" i="4"/>
  <c r="CD75" i="4"/>
  <c r="CG75" i="4"/>
  <c r="CJ75" i="4"/>
  <c r="BZ76" i="4"/>
  <c r="CF90" i="4"/>
  <c r="CJ90" i="4" s="1"/>
  <c r="CC90" i="4"/>
  <c r="BZ90" i="4"/>
  <c r="BW90" i="4"/>
  <c r="BT90" i="4"/>
  <c r="BQ90" i="4"/>
  <c r="BQ84" i="4"/>
  <c r="BT84" i="4"/>
  <c r="BW84" i="4"/>
  <c r="CI90" i="4"/>
  <c r="E17" i="8"/>
  <c r="E6" i="26" l="1"/>
  <c r="G12" i="26"/>
  <c r="F20" i="26"/>
  <c r="J20" i="26"/>
  <c r="D6" i="26"/>
  <c r="G23" i="26"/>
  <c r="F6" i="26"/>
  <c r="H6" i="26"/>
  <c r="D20" i="26"/>
  <c r="E20" i="26"/>
  <c r="D14" i="26"/>
  <c r="E14" i="26" s="1"/>
  <c r="F14" i="26" s="1"/>
  <c r="G14" i="26" s="1"/>
  <c r="J6" i="26"/>
  <c r="F10" i="26"/>
  <c r="D23" i="26"/>
  <c r="I20" i="26"/>
  <c r="E23" i="26"/>
  <c r="F23" i="26"/>
  <c r="I10" i="26"/>
  <c r="J10" i="26"/>
  <c r="D12" i="26"/>
  <c r="E12" i="26"/>
  <c r="D68" i="26"/>
  <c r="D63" i="26"/>
  <c r="D10" i="26"/>
  <c r="E10" i="26"/>
  <c r="H10" i="26"/>
  <c r="F12" i="26"/>
  <c r="CG90" i="4"/>
  <c r="CH90" i="4"/>
  <c r="I6" i="26"/>
  <c r="F69" i="26"/>
  <c r="E73" i="26"/>
  <c r="F73" i="26" s="1"/>
  <c r="E66" i="26"/>
  <c r="F66" i="26" s="1"/>
  <c r="J63" i="26"/>
  <c r="H68" i="26"/>
  <c r="J68" i="26"/>
  <c r="I68" i="26"/>
  <c r="I63" i="26"/>
  <c r="H63" i="26"/>
  <c r="N7" i="8"/>
  <c r="BW86" i="4"/>
  <c r="BW91" i="4" s="1"/>
  <c r="E63" i="26" l="1"/>
  <c r="F63" i="26"/>
  <c r="F68" i="26"/>
  <c r="E68" i="26"/>
  <c r="CI86" i="4"/>
  <c r="CI91" i="4" s="1"/>
  <c r="CF86" i="4"/>
  <c r="CF91" i="4" s="1"/>
  <c r="CC86" i="4"/>
  <c r="CC91" i="4" s="1"/>
  <c r="BZ86" i="4"/>
  <c r="BZ91" i="4" s="1"/>
  <c r="BT86" i="4"/>
  <c r="BT91" i="4" s="1"/>
  <c r="BQ86" i="4"/>
  <c r="BQ91" i="4" s="1"/>
  <c r="BN86" i="4"/>
  <c r="BK86" i="4"/>
  <c r="BH86" i="4"/>
  <c r="BE86" i="4"/>
  <c r="BB86" i="4"/>
  <c r="AY86" i="4"/>
  <c r="AV86" i="4"/>
  <c r="AS86" i="4"/>
  <c r="AP86" i="4"/>
  <c r="AM86" i="4"/>
  <c r="AJ86" i="4"/>
  <c r="AG86" i="4"/>
  <c r="AD86" i="4"/>
  <c r="AA86" i="4"/>
  <c r="X86" i="4"/>
  <c r="U86" i="4"/>
  <c r="R86" i="4"/>
  <c r="O86" i="4"/>
  <c r="L86" i="4"/>
  <c r="I86" i="4"/>
  <c r="H86" i="4"/>
  <c r="G86" i="4"/>
  <c r="F86" i="4"/>
  <c r="E86" i="4"/>
  <c r="D86" i="4"/>
  <c r="CJ79" i="4"/>
  <c r="CI79" i="4"/>
  <c r="CI85" i="4" s="1"/>
  <c r="CF79" i="4"/>
  <c r="CF85" i="4" s="1"/>
  <c r="CC85" i="4"/>
  <c r="BZ79" i="4"/>
  <c r="BZ85" i="4" s="1"/>
  <c r="BY79" i="4"/>
  <c r="BX79" i="4"/>
  <c r="BW85" i="4"/>
  <c r="BV79" i="4"/>
  <c r="BU79" i="4"/>
  <c r="BT79" i="4"/>
  <c r="BT85" i="4" s="1"/>
  <c r="BS79" i="4"/>
  <c r="BR79" i="4"/>
  <c r="BQ79" i="4"/>
  <c r="BQ85" i="4" s="1"/>
  <c r="BP79" i="4"/>
  <c r="BO79" i="4"/>
  <c r="BN79" i="4"/>
  <c r="BM79" i="4"/>
  <c r="BL79" i="4"/>
  <c r="BK79" i="4"/>
  <c r="BJ79" i="4"/>
  <c r="BI79" i="4"/>
  <c r="BH79" i="4"/>
  <c r="BG79" i="4"/>
  <c r="BF79" i="4"/>
  <c r="BE79" i="4"/>
  <c r="BD79" i="4"/>
  <c r="BC79" i="4"/>
  <c r="BB79" i="4"/>
  <c r="BA79" i="4"/>
  <c r="AZ79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J73" i="8"/>
  <c r="J72" i="8"/>
  <c r="J70" i="8"/>
  <c r="G74" i="8"/>
  <c r="G74" i="26" s="1"/>
  <c r="G73" i="8"/>
  <c r="I73" i="8" s="1"/>
  <c r="G72" i="8"/>
  <c r="G67" i="8"/>
  <c r="G66" i="8"/>
  <c r="G66" i="26" s="1"/>
  <c r="G65" i="8"/>
  <c r="G64" i="8"/>
  <c r="G71" i="8"/>
  <c r="G69" i="8"/>
  <c r="I69" i="8" s="1"/>
  <c r="P74" i="8"/>
  <c r="O74" i="8"/>
  <c r="P73" i="8"/>
  <c r="O73" i="8"/>
  <c r="P72" i="8"/>
  <c r="O72" i="8"/>
  <c r="P71" i="8"/>
  <c r="O71" i="8"/>
  <c r="P70" i="8"/>
  <c r="O70" i="8"/>
  <c r="P69" i="8"/>
  <c r="O69" i="8"/>
  <c r="P67" i="8"/>
  <c r="O67" i="8"/>
  <c r="P66" i="8"/>
  <c r="O66" i="8"/>
  <c r="P65" i="8"/>
  <c r="O65" i="8"/>
  <c r="P64" i="8"/>
  <c r="O64" i="8"/>
  <c r="M74" i="8"/>
  <c r="L74" i="8"/>
  <c r="M73" i="8"/>
  <c r="L73" i="8"/>
  <c r="M72" i="8"/>
  <c r="L72" i="8"/>
  <c r="M71" i="8"/>
  <c r="L71" i="8"/>
  <c r="M70" i="8"/>
  <c r="L70" i="8"/>
  <c r="M69" i="8"/>
  <c r="L69" i="8"/>
  <c r="M67" i="8"/>
  <c r="L67" i="8"/>
  <c r="M66" i="8"/>
  <c r="L66" i="8"/>
  <c r="M65" i="8"/>
  <c r="L65" i="8"/>
  <c r="M64" i="8"/>
  <c r="L64" i="8"/>
  <c r="J74" i="8"/>
  <c r="J71" i="8"/>
  <c r="I70" i="8"/>
  <c r="J69" i="8"/>
  <c r="J67" i="8"/>
  <c r="J66" i="8"/>
  <c r="J65" i="8"/>
  <c r="J64" i="8"/>
  <c r="N68" i="8"/>
  <c r="N63" i="8"/>
  <c r="K68" i="8"/>
  <c r="K63" i="8"/>
  <c r="H68" i="8"/>
  <c r="L68" i="8" s="1"/>
  <c r="H63" i="8"/>
  <c r="F68" i="8"/>
  <c r="F63" i="8"/>
  <c r="E68" i="8"/>
  <c r="E63" i="8"/>
  <c r="D68" i="8"/>
  <c r="D63" i="8"/>
  <c r="I67" i="8" l="1"/>
  <c r="G67" i="26"/>
  <c r="I65" i="8"/>
  <c r="G65" i="26"/>
  <c r="I66" i="8"/>
  <c r="G69" i="26"/>
  <c r="I72" i="8"/>
  <c r="G72" i="26"/>
  <c r="I74" i="8"/>
  <c r="J63" i="8"/>
  <c r="L63" i="8"/>
  <c r="I71" i="8"/>
  <c r="G71" i="26"/>
  <c r="I64" i="8"/>
  <c r="G64" i="26"/>
  <c r="G63" i="26" s="1"/>
  <c r="G73" i="26"/>
  <c r="G68" i="8"/>
  <c r="I68" i="8" s="1"/>
  <c r="J68" i="8"/>
  <c r="M63" i="8"/>
  <c r="O63" i="8"/>
  <c r="M68" i="8"/>
  <c r="P63" i="8"/>
  <c r="G63" i="8"/>
  <c r="I63" i="8" s="1"/>
  <c r="P68" i="8"/>
  <c r="O68" i="8"/>
  <c r="G68" i="26" l="1"/>
  <c r="CI76" i="4"/>
  <c r="CI71" i="4"/>
  <c r="CI68" i="4"/>
  <c r="CI64" i="4"/>
  <c r="CI61" i="4"/>
  <c r="CI55" i="4"/>
  <c r="CL11" i="10"/>
  <c r="CI77" i="4" l="1"/>
  <c r="CI69" i="4"/>
  <c r="CI62" i="4"/>
  <c r="N8" i="8"/>
  <c r="AH11" i="27"/>
  <c r="AH10" i="27"/>
  <c r="AH9" i="27"/>
  <c r="AH8" i="27"/>
  <c r="AH7" i="27"/>
  <c r="AH6" i="27"/>
  <c r="AH5" i="27"/>
  <c r="AH4" i="27"/>
  <c r="AH3" i="27"/>
  <c r="CH36" i="10"/>
  <c r="CE36" i="10"/>
  <c r="J26" i="26"/>
  <c r="CK60" i="4"/>
  <c r="CJ60" i="4"/>
  <c r="CK59" i="4"/>
  <c r="CJ59" i="4"/>
  <c r="CK58" i="4"/>
  <c r="CJ58" i="4"/>
  <c r="CK57" i="4"/>
  <c r="CJ57" i="4"/>
  <c r="CK56" i="4"/>
  <c r="CJ56" i="4"/>
  <c r="CK74" i="4"/>
  <c r="CJ74" i="4"/>
  <c r="CK73" i="4"/>
  <c r="CJ73" i="4"/>
  <c r="CK72" i="4"/>
  <c r="CJ72" i="4"/>
  <c r="CK67" i="4"/>
  <c r="CJ67" i="4"/>
  <c r="CK66" i="4"/>
  <c r="CJ66" i="4"/>
  <c r="CK65" i="4"/>
  <c r="CJ65" i="4"/>
  <c r="CI44" i="4"/>
  <c r="CI43" i="4" s="1"/>
  <c r="CI37" i="4"/>
  <c r="CI26" i="4"/>
  <c r="CI14" i="4"/>
  <c r="CI4" i="4"/>
  <c r="CJ11" i="10"/>
  <c r="CI11" i="10"/>
  <c r="N20" i="8"/>
  <c r="N10" i="8"/>
  <c r="N6" i="8"/>
  <c r="N11" i="8" l="1"/>
  <c r="CI25" i="4"/>
  <c r="CI51" i="4" s="1"/>
  <c r="CI3" i="4"/>
  <c r="CI52" i="4" l="1"/>
  <c r="N22" i="8"/>
  <c r="N17" i="8"/>
  <c r="N12" i="8"/>
  <c r="N18" i="8" l="1"/>
  <c r="N23" i="8"/>
  <c r="N39" i="8"/>
  <c r="N38" i="8"/>
  <c r="N33" i="8"/>
  <c r="N30" i="8"/>
  <c r="N27" i="8"/>
  <c r="N26" i="8"/>
  <c r="N44" i="8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4" i="10"/>
  <c r="R11" i="5"/>
  <c r="Q11" i="5"/>
  <c r="O11" i="5"/>
  <c r="P11" i="5" s="1"/>
  <c r="N11" i="5"/>
  <c r="M11" i="5"/>
  <c r="L11" i="5"/>
  <c r="K11" i="5"/>
  <c r="J11" i="5"/>
  <c r="I11" i="5"/>
  <c r="H11" i="5"/>
  <c r="Q36" i="5"/>
  <c r="O36" i="5"/>
  <c r="P36" i="5" s="1"/>
  <c r="M36" i="5"/>
  <c r="K36" i="5"/>
  <c r="L36" i="5" s="1"/>
  <c r="I36" i="5"/>
  <c r="G36" i="5"/>
  <c r="H36" i="5" s="1"/>
  <c r="E36" i="5"/>
  <c r="E11" i="5"/>
  <c r="F11" i="5" s="1"/>
  <c r="G11" i="5"/>
  <c r="D11" i="5"/>
  <c r="D36" i="5"/>
  <c r="C36" i="5"/>
  <c r="B36" i="5"/>
  <c r="C35" i="5"/>
  <c r="B35" i="5"/>
  <c r="C34" i="5"/>
  <c r="B34" i="5"/>
  <c r="C33" i="5"/>
  <c r="B33" i="5"/>
  <c r="C32" i="5"/>
  <c r="B32" i="5"/>
  <c r="C31" i="5"/>
  <c r="B31" i="5"/>
  <c r="C30" i="5"/>
  <c r="B30" i="5"/>
  <c r="C29" i="5"/>
  <c r="B29" i="5"/>
  <c r="C28" i="5"/>
  <c r="B28" i="5"/>
  <c r="C27" i="5"/>
  <c r="B27" i="5"/>
  <c r="C26" i="5"/>
  <c r="B26" i="5"/>
  <c r="C25" i="5"/>
  <c r="B25" i="5"/>
  <c r="C24" i="5"/>
  <c r="B24" i="5"/>
  <c r="C23" i="5"/>
  <c r="B23" i="5"/>
  <c r="C22" i="5"/>
  <c r="B22" i="5"/>
  <c r="C21" i="5"/>
  <c r="B21" i="5"/>
  <c r="C20" i="5"/>
  <c r="B20" i="5"/>
  <c r="C19" i="5"/>
  <c r="B19" i="5"/>
  <c r="C18" i="5"/>
  <c r="B18" i="5"/>
  <c r="C17" i="5"/>
  <c r="B17" i="5"/>
  <c r="C16" i="5"/>
  <c r="B16" i="5"/>
  <c r="C15" i="5"/>
  <c r="B15" i="5"/>
  <c r="C14" i="5"/>
  <c r="B14" i="5"/>
  <c r="C13" i="5"/>
  <c r="B13" i="5"/>
  <c r="C12" i="5"/>
  <c r="B12" i="5"/>
  <c r="C11" i="5"/>
  <c r="B11" i="5"/>
  <c r="C10" i="5"/>
  <c r="B10" i="5"/>
  <c r="C9" i="5"/>
  <c r="B9" i="5"/>
  <c r="C8" i="5"/>
  <c r="B8" i="5"/>
  <c r="C7" i="5"/>
  <c r="B7" i="5"/>
  <c r="C6" i="5"/>
  <c r="B6" i="5"/>
  <c r="C5" i="5"/>
  <c r="B5" i="5"/>
  <c r="C4" i="5"/>
  <c r="B4" i="5"/>
  <c r="C36" i="27"/>
  <c r="B36" i="27"/>
  <c r="X11" i="27"/>
  <c r="Y11" i="27" s="1"/>
  <c r="S36" i="27"/>
  <c r="R36" i="27"/>
  <c r="Q36" i="27"/>
  <c r="P36" i="27"/>
  <c r="O36" i="27"/>
  <c r="N36" i="27"/>
  <c r="M36" i="27"/>
  <c r="L36" i="27"/>
  <c r="K36" i="27"/>
  <c r="J36" i="27"/>
  <c r="I36" i="27"/>
  <c r="H36" i="27"/>
  <c r="G36" i="27"/>
  <c r="F36" i="27"/>
  <c r="E36" i="27"/>
  <c r="D36" i="27"/>
  <c r="AF35" i="27"/>
  <c r="AB35" i="27"/>
  <c r="AC35" i="27" s="1"/>
  <c r="AD35" i="27" s="1"/>
  <c r="AE35" i="27" s="1"/>
  <c r="X35" i="27"/>
  <c r="Y35" i="27" s="1"/>
  <c r="Z35" i="27" s="1"/>
  <c r="AA35" i="27" s="1"/>
  <c r="T35" i="27"/>
  <c r="U35" i="27" s="1"/>
  <c r="V35" i="27" s="1"/>
  <c r="W35" i="27" s="1"/>
  <c r="AF34" i="27"/>
  <c r="AB34" i="27"/>
  <c r="AC34" i="27" s="1"/>
  <c r="AD34" i="27" s="1"/>
  <c r="AE34" i="27" s="1"/>
  <c r="X34" i="27"/>
  <c r="Y34" i="27" s="1"/>
  <c r="Z34" i="27" s="1"/>
  <c r="AA34" i="27" s="1"/>
  <c r="T34" i="27"/>
  <c r="U34" i="27" s="1"/>
  <c r="V34" i="27" s="1"/>
  <c r="W34" i="27" s="1"/>
  <c r="AF33" i="27"/>
  <c r="AB33" i="27"/>
  <c r="AC33" i="27" s="1"/>
  <c r="AD33" i="27" s="1"/>
  <c r="AE33" i="27" s="1"/>
  <c r="X33" i="27"/>
  <c r="Y33" i="27" s="1"/>
  <c r="Z33" i="27" s="1"/>
  <c r="AA33" i="27" s="1"/>
  <c r="T33" i="27"/>
  <c r="U33" i="27" s="1"/>
  <c r="V33" i="27" s="1"/>
  <c r="W33" i="27" s="1"/>
  <c r="AF32" i="27"/>
  <c r="AB32" i="27"/>
  <c r="AC32" i="27" s="1"/>
  <c r="AD32" i="27" s="1"/>
  <c r="AE32" i="27" s="1"/>
  <c r="X32" i="27"/>
  <c r="Y32" i="27" s="1"/>
  <c r="Z32" i="27" s="1"/>
  <c r="AA32" i="27" s="1"/>
  <c r="T32" i="27"/>
  <c r="U32" i="27" s="1"/>
  <c r="V32" i="27" s="1"/>
  <c r="W32" i="27" s="1"/>
  <c r="AF31" i="27"/>
  <c r="AB31" i="27"/>
  <c r="AC31" i="27" s="1"/>
  <c r="AD31" i="27" s="1"/>
  <c r="AE31" i="27" s="1"/>
  <c r="X31" i="27"/>
  <c r="Y31" i="27" s="1"/>
  <c r="Z31" i="27" s="1"/>
  <c r="AA31" i="27" s="1"/>
  <c r="T31" i="27"/>
  <c r="U31" i="27" s="1"/>
  <c r="V31" i="27" s="1"/>
  <c r="W31" i="27" s="1"/>
  <c r="AF30" i="27"/>
  <c r="AB30" i="27"/>
  <c r="AC30" i="27" s="1"/>
  <c r="AD30" i="27" s="1"/>
  <c r="AE30" i="27" s="1"/>
  <c r="X30" i="27"/>
  <c r="Y30" i="27" s="1"/>
  <c r="Z30" i="27" s="1"/>
  <c r="AA30" i="27" s="1"/>
  <c r="T30" i="27"/>
  <c r="U30" i="27" s="1"/>
  <c r="V30" i="27" s="1"/>
  <c r="W30" i="27" s="1"/>
  <c r="AF29" i="27"/>
  <c r="AB29" i="27"/>
  <c r="AC29" i="27" s="1"/>
  <c r="AD29" i="27" s="1"/>
  <c r="AE29" i="27" s="1"/>
  <c r="X29" i="27"/>
  <c r="Y29" i="27" s="1"/>
  <c r="Z29" i="27" s="1"/>
  <c r="AA29" i="27" s="1"/>
  <c r="T29" i="27"/>
  <c r="U29" i="27" s="1"/>
  <c r="V29" i="27" s="1"/>
  <c r="W29" i="27" s="1"/>
  <c r="AF28" i="27"/>
  <c r="AB28" i="27"/>
  <c r="AC28" i="27" s="1"/>
  <c r="AD28" i="27" s="1"/>
  <c r="AE28" i="27" s="1"/>
  <c r="X28" i="27"/>
  <c r="Y28" i="27" s="1"/>
  <c r="Z28" i="27" s="1"/>
  <c r="AA28" i="27" s="1"/>
  <c r="T28" i="27"/>
  <c r="U28" i="27" s="1"/>
  <c r="V28" i="27" s="1"/>
  <c r="W28" i="27" s="1"/>
  <c r="AF27" i="27"/>
  <c r="AB27" i="27"/>
  <c r="AC27" i="27" s="1"/>
  <c r="AD27" i="27" s="1"/>
  <c r="AE27" i="27" s="1"/>
  <c r="X27" i="27"/>
  <c r="Y27" i="27" s="1"/>
  <c r="Z27" i="27" s="1"/>
  <c r="AA27" i="27" s="1"/>
  <c r="T27" i="27"/>
  <c r="U27" i="27" s="1"/>
  <c r="V27" i="27" s="1"/>
  <c r="W27" i="27" s="1"/>
  <c r="AF26" i="27"/>
  <c r="AB26" i="27"/>
  <c r="AC26" i="27" s="1"/>
  <c r="AD26" i="27" s="1"/>
  <c r="AE26" i="27" s="1"/>
  <c r="X26" i="27"/>
  <c r="Y26" i="27" s="1"/>
  <c r="Z26" i="27" s="1"/>
  <c r="AA26" i="27" s="1"/>
  <c r="T26" i="27"/>
  <c r="U26" i="27" s="1"/>
  <c r="V26" i="27" s="1"/>
  <c r="W26" i="27" s="1"/>
  <c r="AF25" i="27"/>
  <c r="AB25" i="27"/>
  <c r="AC25" i="27" s="1"/>
  <c r="AD25" i="27" s="1"/>
  <c r="AE25" i="27" s="1"/>
  <c r="X25" i="27"/>
  <c r="Y25" i="27" s="1"/>
  <c r="Z25" i="27" s="1"/>
  <c r="AA25" i="27" s="1"/>
  <c r="T25" i="27"/>
  <c r="U25" i="27" s="1"/>
  <c r="V25" i="27" s="1"/>
  <c r="W25" i="27" s="1"/>
  <c r="AF24" i="27"/>
  <c r="AB24" i="27"/>
  <c r="AC24" i="27" s="1"/>
  <c r="AD24" i="27" s="1"/>
  <c r="AE24" i="27" s="1"/>
  <c r="X24" i="27"/>
  <c r="Y24" i="27" s="1"/>
  <c r="Z24" i="27" s="1"/>
  <c r="AA24" i="27" s="1"/>
  <c r="U24" i="27"/>
  <c r="V24" i="27" s="1"/>
  <c r="W24" i="27" s="1"/>
  <c r="T24" i="27"/>
  <c r="AF23" i="27"/>
  <c r="AB23" i="27"/>
  <c r="AC23" i="27" s="1"/>
  <c r="AD23" i="27" s="1"/>
  <c r="AE23" i="27" s="1"/>
  <c r="X23" i="27"/>
  <c r="Y23" i="27" s="1"/>
  <c r="Z23" i="27" s="1"/>
  <c r="AA23" i="27" s="1"/>
  <c r="T23" i="27"/>
  <c r="U23" i="27" s="1"/>
  <c r="V23" i="27" s="1"/>
  <c r="W23" i="27" s="1"/>
  <c r="AF22" i="27"/>
  <c r="AB22" i="27"/>
  <c r="AC22" i="27" s="1"/>
  <c r="AD22" i="27" s="1"/>
  <c r="AE22" i="27" s="1"/>
  <c r="Y22" i="27"/>
  <c r="Z22" i="27" s="1"/>
  <c r="AA22" i="27" s="1"/>
  <c r="X22" i="27"/>
  <c r="T22" i="27"/>
  <c r="U22" i="27" s="1"/>
  <c r="V22" i="27" s="1"/>
  <c r="W22" i="27" s="1"/>
  <c r="AF21" i="27"/>
  <c r="AB21" i="27"/>
  <c r="AC21" i="27" s="1"/>
  <c r="AD21" i="27" s="1"/>
  <c r="AE21" i="27" s="1"/>
  <c r="X21" i="27"/>
  <c r="Y21" i="27" s="1"/>
  <c r="Z21" i="27" s="1"/>
  <c r="AA21" i="27" s="1"/>
  <c r="T21" i="27"/>
  <c r="U21" i="27" s="1"/>
  <c r="V21" i="27" s="1"/>
  <c r="W21" i="27" s="1"/>
  <c r="AF20" i="27"/>
  <c r="AC20" i="27"/>
  <c r="AD20" i="27" s="1"/>
  <c r="AE20" i="27" s="1"/>
  <c r="AB20" i="27"/>
  <c r="X20" i="27"/>
  <c r="Y20" i="27" s="1"/>
  <c r="Z20" i="27" s="1"/>
  <c r="AA20" i="27" s="1"/>
  <c r="T20" i="27"/>
  <c r="U20" i="27" s="1"/>
  <c r="V20" i="27" s="1"/>
  <c r="W20" i="27" s="1"/>
  <c r="AF19" i="27"/>
  <c r="AB19" i="27"/>
  <c r="AC19" i="27" s="1"/>
  <c r="AD19" i="27" s="1"/>
  <c r="AE19" i="27" s="1"/>
  <c r="X19" i="27"/>
  <c r="Y19" i="27" s="1"/>
  <c r="Z19" i="27" s="1"/>
  <c r="AA19" i="27" s="1"/>
  <c r="T19" i="27"/>
  <c r="U19" i="27" s="1"/>
  <c r="V19" i="27" s="1"/>
  <c r="W19" i="27" s="1"/>
  <c r="AF18" i="27"/>
  <c r="AB18" i="27"/>
  <c r="AC18" i="27" s="1"/>
  <c r="AD18" i="27" s="1"/>
  <c r="AE18" i="27" s="1"/>
  <c r="X18" i="27"/>
  <c r="Y18" i="27" s="1"/>
  <c r="Z18" i="27" s="1"/>
  <c r="AA18" i="27" s="1"/>
  <c r="T18" i="27"/>
  <c r="U18" i="27" s="1"/>
  <c r="V18" i="27" s="1"/>
  <c r="W18" i="27" s="1"/>
  <c r="AF17" i="27"/>
  <c r="AB17" i="27"/>
  <c r="AC17" i="27" s="1"/>
  <c r="AD17" i="27" s="1"/>
  <c r="AE17" i="27" s="1"/>
  <c r="X17" i="27"/>
  <c r="Y17" i="27" s="1"/>
  <c r="Z17" i="27" s="1"/>
  <c r="AA17" i="27" s="1"/>
  <c r="T17" i="27"/>
  <c r="U17" i="27" s="1"/>
  <c r="V17" i="27" s="1"/>
  <c r="W17" i="27" s="1"/>
  <c r="AF16" i="27"/>
  <c r="AB16" i="27"/>
  <c r="AC16" i="27" s="1"/>
  <c r="AD16" i="27" s="1"/>
  <c r="AE16" i="27" s="1"/>
  <c r="X16" i="27"/>
  <c r="Y16" i="27" s="1"/>
  <c r="Z16" i="27" s="1"/>
  <c r="AA16" i="27" s="1"/>
  <c r="T16" i="27"/>
  <c r="U16" i="27" s="1"/>
  <c r="V16" i="27" s="1"/>
  <c r="W16" i="27" s="1"/>
  <c r="AF15" i="27"/>
  <c r="AB15" i="27"/>
  <c r="AC15" i="27" s="1"/>
  <c r="AD15" i="27" s="1"/>
  <c r="AE15" i="27" s="1"/>
  <c r="X15" i="27"/>
  <c r="Y15" i="27" s="1"/>
  <c r="Z15" i="27" s="1"/>
  <c r="AA15" i="27" s="1"/>
  <c r="T15" i="27"/>
  <c r="U15" i="27" s="1"/>
  <c r="V15" i="27" s="1"/>
  <c r="W15" i="27" s="1"/>
  <c r="AF14" i="27"/>
  <c r="AB14" i="27"/>
  <c r="AC14" i="27" s="1"/>
  <c r="AD14" i="27" s="1"/>
  <c r="AE14" i="27" s="1"/>
  <c r="X14" i="27"/>
  <c r="Y14" i="27" s="1"/>
  <c r="Z14" i="27" s="1"/>
  <c r="AA14" i="27" s="1"/>
  <c r="T14" i="27"/>
  <c r="U14" i="27" s="1"/>
  <c r="V14" i="27" s="1"/>
  <c r="W14" i="27" s="1"/>
  <c r="AF13" i="27"/>
  <c r="AB13" i="27"/>
  <c r="AC13" i="27" s="1"/>
  <c r="AD13" i="27" s="1"/>
  <c r="AE13" i="27" s="1"/>
  <c r="X13" i="27"/>
  <c r="Y13" i="27" s="1"/>
  <c r="Z13" i="27" s="1"/>
  <c r="AA13" i="27" s="1"/>
  <c r="T13" i="27"/>
  <c r="U13" i="27" s="1"/>
  <c r="V13" i="27" s="1"/>
  <c r="W13" i="27" s="1"/>
  <c r="AF12" i="27"/>
  <c r="AB12" i="27"/>
  <c r="AC12" i="27" s="1"/>
  <c r="AD12" i="27" s="1"/>
  <c r="AE12" i="27" s="1"/>
  <c r="X12" i="27"/>
  <c r="Y12" i="27" s="1"/>
  <c r="Z12" i="27" s="1"/>
  <c r="AA12" i="27" s="1"/>
  <c r="T12" i="27"/>
  <c r="U12" i="27" s="1"/>
  <c r="V12" i="27" s="1"/>
  <c r="W12" i="27" s="1"/>
  <c r="AG9" i="27"/>
  <c r="AF9" i="27"/>
  <c r="AB9" i="27"/>
  <c r="AC9" i="27" s="1"/>
  <c r="AD9" i="27" s="1"/>
  <c r="AE9" i="27" s="1"/>
  <c r="X9" i="27"/>
  <c r="Y9" i="27" s="1"/>
  <c r="Z9" i="27" s="1"/>
  <c r="AA9" i="27" s="1"/>
  <c r="T9" i="27"/>
  <c r="U9" i="27" s="1"/>
  <c r="V9" i="27" s="1"/>
  <c r="W9" i="27" s="1"/>
  <c r="AF10" i="27"/>
  <c r="AG10" i="27" s="1"/>
  <c r="AB10" i="27"/>
  <c r="AC10" i="27" s="1"/>
  <c r="AD10" i="27" s="1"/>
  <c r="AE10" i="27" s="1"/>
  <c r="X10" i="27"/>
  <c r="Y10" i="27" s="1"/>
  <c r="Z10" i="27" s="1"/>
  <c r="AA10" i="27" s="1"/>
  <c r="T10" i="27"/>
  <c r="U10" i="27" s="1"/>
  <c r="V10" i="27" s="1"/>
  <c r="W10" i="27" s="1"/>
  <c r="AF8" i="27"/>
  <c r="AG8" i="27" s="1"/>
  <c r="AB8" i="27"/>
  <c r="AC8" i="27" s="1"/>
  <c r="AD8" i="27" s="1"/>
  <c r="AE8" i="27" s="1"/>
  <c r="X8" i="27"/>
  <c r="Y8" i="27" s="1"/>
  <c r="Z8" i="27" s="1"/>
  <c r="AA8" i="27" s="1"/>
  <c r="T8" i="27"/>
  <c r="U8" i="27" s="1"/>
  <c r="V8" i="27" s="1"/>
  <c r="W8" i="27" s="1"/>
  <c r="AF7" i="27"/>
  <c r="AG7" i="27" s="1"/>
  <c r="AB7" i="27"/>
  <c r="AC7" i="27" s="1"/>
  <c r="AD7" i="27" s="1"/>
  <c r="AE7" i="27" s="1"/>
  <c r="X7" i="27"/>
  <c r="Y7" i="27" s="1"/>
  <c r="Z7" i="27" s="1"/>
  <c r="AA7" i="27" s="1"/>
  <c r="T7" i="27"/>
  <c r="U7" i="27" s="1"/>
  <c r="V7" i="27" s="1"/>
  <c r="W7" i="27" s="1"/>
  <c r="AF6" i="27"/>
  <c r="AG6" i="27" s="1"/>
  <c r="AB6" i="27"/>
  <c r="AC6" i="27" s="1"/>
  <c r="AD6" i="27" s="1"/>
  <c r="AE6" i="27" s="1"/>
  <c r="X6" i="27"/>
  <c r="Y6" i="27" s="1"/>
  <c r="Z6" i="27" s="1"/>
  <c r="AA6" i="27" s="1"/>
  <c r="T6" i="27"/>
  <c r="U6" i="27" s="1"/>
  <c r="V6" i="27" s="1"/>
  <c r="W6" i="27" s="1"/>
  <c r="AF5" i="27"/>
  <c r="AG5" i="27" s="1"/>
  <c r="AB5" i="27"/>
  <c r="AC5" i="27" s="1"/>
  <c r="AD5" i="27" s="1"/>
  <c r="AE5" i="27" s="1"/>
  <c r="X5" i="27"/>
  <c r="Y5" i="27" s="1"/>
  <c r="Z5" i="27" s="1"/>
  <c r="AA5" i="27" s="1"/>
  <c r="T5" i="27"/>
  <c r="U5" i="27" s="1"/>
  <c r="V5" i="27" s="1"/>
  <c r="W5" i="27" s="1"/>
  <c r="AF4" i="27"/>
  <c r="AG4" i="27" s="1"/>
  <c r="AB4" i="27"/>
  <c r="AC4" i="27" s="1"/>
  <c r="AD4" i="27" s="1"/>
  <c r="AE4" i="27" s="1"/>
  <c r="X4" i="27"/>
  <c r="Y4" i="27" s="1"/>
  <c r="Z4" i="27" s="1"/>
  <c r="AA4" i="27" s="1"/>
  <c r="T4" i="27"/>
  <c r="U4" i="27" s="1"/>
  <c r="V4" i="27" s="1"/>
  <c r="W4" i="27" s="1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14" i="27"/>
  <c r="B14" i="27"/>
  <c r="C13" i="27"/>
  <c r="B13" i="27"/>
  <c r="C12" i="27"/>
  <c r="B12" i="27"/>
  <c r="C11" i="27"/>
  <c r="B11" i="27"/>
  <c r="C9" i="27"/>
  <c r="B9" i="27"/>
  <c r="C10" i="27"/>
  <c r="B10" i="27"/>
  <c r="C8" i="27"/>
  <c r="B8" i="27"/>
  <c r="C7" i="27"/>
  <c r="B7" i="27"/>
  <c r="C6" i="27"/>
  <c r="B6" i="27"/>
  <c r="C5" i="27"/>
  <c r="B5" i="27"/>
  <c r="C4" i="27"/>
  <c r="B4" i="27"/>
  <c r="H36" i="10"/>
  <c r="BJ36" i="10"/>
  <c r="AO36" i="10"/>
  <c r="AF36" i="10"/>
  <c r="W36" i="10"/>
  <c r="BV36" i="10"/>
  <c r="BS36" i="10"/>
  <c r="M11" i="10"/>
  <c r="L11" i="10"/>
  <c r="Q11" i="10"/>
  <c r="AE11" i="10" s="1"/>
  <c r="N11" i="10"/>
  <c r="N36" i="10" s="1"/>
  <c r="K11" i="10"/>
  <c r="K36" i="10" s="1"/>
  <c r="H11" i="10"/>
  <c r="J11" i="10" s="1"/>
  <c r="G11" i="10"/>
  <c r="G36" i="10" s="1"/>
  <c r="F11" i="10"/>
  <c r="F36" i="10" s="1"/>
  <c r="E11" i="10"/>
  <c r="E36" i="10" s="1"/>
  <c r="D11" i="10"/>
  <c r="D36" i="10" s="1"/>
  <c r="BM11" i="10"/>
  <c r="BJ11" i="10"/>
  <c r="BG11" i="10"/>
  <c r="BU11" i="10" s="1"/>
  <c r="BD11" i="10"/>
  <c r="BD36" i="10" s="1"/>
  <c r="BA11" i="10"/>
  <c r="BB11" i="10" s="1"/>
  <c r="AX11" i="10"/>
  <c r="AX36" i="10" s="1"/>
  <c r="AU11" i="10"/>
  <c r="AR11" i="10"/>
  <c r="T11" i="27" s="1"/>
  <c r="U11" i="27" s="1"/>
  <c r="AO11" i="10"/>
  <c r="AQ11" i="10" s="1"/>
  <c r="AL11" i="10"/>
  <c r="AN11" i="10" s="1"/>
  <c r="AI11" i="10"/>
  <c r="AG11" i="10"/>
  <c r="AF11" i="10"/>
  <c r="AC11" i="10"/>
  <c r="AC36" i="10" s="1"/>
  <c r="Z11" i="10"/>
  <c r="Z36" i="10" s="1"/>
  <c r="W11" i="10"/>
  <c r="AA11" i="10" s="1"/>
  <c r="T11" i="10"/>
  <c r="V11" i="10" s="1"/>
  <c r="BW11" i="10"/>
  <c r="BY11" i="10"/>
  <c r="CC11" i="10" s="1"/>
  <c r="BV11" i="10"/>
  <c r="BX11" i="10" s="1"/>
  <c r="BS11" i="10"/>
  <c r="BT11" i="10" s="1"/>
  <c r="BP11" i="10"/>
  <c r="CD11" i="10" s="1"/>
  <c r="CB36" i="10"/>
  <c r="CB11" i="10"/>
  <c r="CD34" i="10"/>
  <c r="CA34" i="10"/>
  <c r="BX34" i="10"/>
  <c r="BU34" i="10"/>
  <c r="CD33" i="10"/>
  <c r="CC33" i="10"/>
  <c r="CA33" i="10"/>
  <c r="BZ33" i="10"/>
  <c r="BX33" i="10"/>
  <c r="BW33" i="10"/>
  <c r="CD32" i="10"/>
  <c r="CC32" i="10"/>
  <c r="CA32" i="10"/>
  <c r="BZ32" i="10"/>
  <c r="BX32" i="10"/>
  <c r="BW32" i="10"/>
  <c r="BU32" i="10"/>
  <c r="BT32" i="10"/>
  <c r="CD9" i="10"/>
  <c r="CC9" i="10"/>
  <c r="CA9" i="10"/>
  <c r="BZ9" i="10"/>
  <c r="BX9" i="10"/>
  <c r="BW9" i="10"/>
  <c r="BU9" i="10"/>
  <c r="BT9" i="10"/>
  <c r="CD31" i="10"/>
  <c r="CC31" i="10"/>
  <c r="CA31" i="10"/>
  <c r="BZ31" i="10"/>
  <c r="BX31" i="10"/>
  <c r="BW31" i="10"/>
  <c r="BU31" i="10"/>
  <c r="BT31" i="10"/>
  <c r="CD30" i="10"/>
  <c r="CC30" i="10"/>
  <c r="CA30" i="10"/>
  <c r="BX30" i="10"/>
  <c r="BU30" i="10"/>
  <c r="CD29" i="10"/>
  <c r="CC29" i="10"/>
  <c r="CA29" i="10"/>
  <c r="BZ29" i="10"/>
  <c r="BX29" i="10"/>
  <c r="BW29" i="10"/>
  <c r="BU29" i="10"/>
  <c r="BT29" i="10"/>
  <c r="CD28" i="10"/>
  <c r="CC28" i="10"/>
  <c r="CA28" i="10"/>
  <c r="BZ28" i="10"/>
  <c r="BX28" i="10"/>
  <c r="BW28" i="10"/>
  <c r="BU28" i="10"/>
  <c r="BT28" i="10"/>
  <c r="CD27" i="10"/>
  <c r="CC27" i="10"/>
  <c r="CA27" i="10"/>
  <c r="BZ27" i="10"/>
  <c r="BX27" i="10"/>
  <c r="BW27" i="10"/>
  <c r="BU27" i="10"/>
  <c r="BT27" i="10"/>
  <c r="CD26" i="10"/>
  <c r="CC26" i="10"/>
  <c r="CA26" i="10"/>
  <c r="BZ26" i="10"/>
  <c r="BX26" i="10"/>
  <c r="BW26" i="10"/>
  <c r="BU26" i="10"/>
  <c r="BT26" i="10"/>
  <c r="CD25" i="10"/>
  <c r="CC25" i="10"/>
  <c r="CA25" i="10"/>
  <c r="BZ25" i="10"/>
  <c r="BX25" i="10"/>
  <c r="BW25" i="10"/>
  <c r="BU25" i="10"/>
  <c r="BT25" i="10"/>
  <c r="CD24" i="10"/>
  <c r="CC24" i="10"/>
  <c r="CA24" i="10"/>
  <c r="BZ24" i="10"/>
  <c r="BX24" i="10"/>
  <c r="BW24" i="10"/>
  <c r="BU24" i="10"/>
  <c r="BT24" i="10"/>
  <c r="CD23" i="10"/>
  <c r="CC23" i="10"/>
  <c r="CA23" i="10"/>
  <c r="BZ23" i="10"/>
  <c r="BX23" i="10"/>
  <c r="BW23" i="10"/>
  <c r="BU23" i="10"/>
  <c r="BT23" i="10"/>
  <c r="CD22" i="10"/>
  <c r="CC22" i="10"/>
  <c r="CA22" i="10"/>
  <c r="BZ22" i="10"/>
  <c r="BX22" i="10"/>
  <c r="BW22" i="10"/>
  <c r="BU22" i="10"/>
  <c r="BT22" i="10"/>
  <c r="CD21" i="10"/>
  <c r="CC21" i="10"/>
  <c r="CA21" i="10"/>
  <c r="BZ21" i="10"/>
  <c r="BX21" i="10"/>
  <c r="BW21" i="10"/>
  <c r="BU21" i="10"/>
  <c r="BT21" i="10"/>
  <c r="CD20" i="10"/>
  <c r="CC20" i="10"/>
  <c r="CA20" i="10"/>
  <c r="BZ20" i="10"/>
  <c r="BX20" i="10"/>
  <c r="BW20" i="10"/>
  <c r="BU20" i="10"/>
  <c r="BT20" i="10"/>
  <c r="CD19" i="10"/>
  <c r="CC19" i="10"/>
  <c r="CA19" i="10"/>
  <c r="BZ19" i="10"/>
  <c r="BX19" i="10"/>
  <c r="BW19" i="10"/>
  <c r="BU19" i="10"/>
  <c r="BT19" i="10"/>
  <c r="CD18" i="10"/>
  <c r="CC18" i="10"/>
  <c r="CA18" i="10"/>
  <c r="BZ18" i="10"/>
  <c r="BX18" i="10"/>
  <c r="BW18" i="10"/>
  <c r="BU18" i="10"/>
  <c r="BT18" i="10"/>
  <c r="CD17" i="10"/>
  <c r="CC17" i="10"/>
  <c r="CA17" i="10"/>
  <c r="BZ17" i="10"/>
  <c r="BX17" i="10"/>
  <c r="BW17" i="10"/>
  <c r="BU17" i="10"/>
  <c r="BT17" i="10"/>
  <c r="CD16" i="10"/>
  <c r="CC16" i="10"/>
  <c r="CA16" i="10"/>
  <c r="BZ16" i="10"/>
  <c r="BX16" i="10"/>
  <c r="BW16" i="10"/>
  <c r="BU16" i="10"/>
  <c r="BT16" i="10"/>
  <c r="CD15" i="10"/>
  <c r="CC15" i="10"/>
  <c r="CA15" i="10"/>
  <c r="BZ15" i="10"/>
  <c r="BX15" i="10"/>
  <c r="BW15" i="10"/>
  <c r="BU15" i="10"/>
  <c r="BT15" i="10"/>
  <c r="CD14" i="10"/>
  <c r="CC14" i="10"/>
  <c r="CA14" i="10"/>
  <c r="BX14" i="10"/>
  <c r="BU14" i="10"/>
  <c r="CD10" i="10"/>
  <c r="CC10" i="10"/>
  <c r="CA10" i="10"/>
  <c r="BZ10" i="10"/>
  <c r="BX10" i="10"/>
  <c r="BW10" i="10"/>
  <c r="BU10" i="10"/>
  <c r="BT10" i="10"/>
  <c r="CD13" i="10"/>
  <c r="CC13" i="10"/>
  <c r="CA13" i="10"/>
  <c r="BZ13" i="10"/>
  <c r="BX13" i="10"/>
  <c r="BW13" i="10"/>
  <c r="BU13" i="10"/>
  <c r="BT13" i="10"/>
  <c r="CD12" i="10"/>
  <c r="CC12" i="10"/>
  <c r="CA12" i="10"/>
  <c r="BZ12" i="10"/>
  <c r="BX12" i="10"/>
  <c r="BW12" i="10"/>
  <c r="BU12" i="10"/>
  <c r="BT12" i="10"/>
  <c r="CD8" i="10"/>
  <c r="CC8" i="10"/>
  <c r="CA8" i="10"/>
  <c r="BZ8" i="10"/>
  <c r="BX8" i="10"/>
  <c r="BW8" i="10"/>
  <c r="BU8" i="10"/>
  <c r="BT8" i="10"/>
  <c r="N37" i="8" l="1"/>
  <c r="K18" i="18"/>
  <c r="J36" i="5"/>
  <c r="N36" i="5"/>
  <c r="R36" i="5"/>
  <c r="AF11" i="27"/>
  <c r="AG11" i="27" s="1"/>
  <c r="AD36" i="10"/>
  <c r="AB36" i="10"/>
  <c r="BO11" i="10"/>
  <c r="AA36" i="10"/>
  <c r="AP36" i="10"/>
  <c r="AJ11" i="10"/>
  <c r="BC11" i="10"/>
  <c r="I11" i="10"/>
  <c r="AQ36" i="10"/>
  <c r="S11" i="10"/>
  <c r="BZ11" i="10"/>
  <c r="AK11" i="10"/>
  <c r="BF11" i="10"/>
  <c r="BP36" i="10"/>
  <c r="BR36" i="10" s="1"/>
  <c r="AR36" i="10"/>
  <c r="BF36" i="10" s="1"/>
  <c r="BG36" i="10"/>
  <c r="BE11" i="10"/>
  <c r="BM36" i="10"/>
  <c r="BR11" i="10"/>
  <c r="AT11" i="10"/>
  <c r="BH11" i="10"/>
  <c r="O11" i="10"/>
  <c r="BY36" i="10"/>
  <c r="AI36" i="10"/>
  <c r="Q36" i="10"/>
  <c r="AE36" i="10" s="1"/>
  <c r="AB11" i="27"/>
  <c r="AC11" i="27" s="1"/>
  <c r="AD11" i="27" s="1"/>
  <c r="BU36" i="10"/>
  <c r="BQ11" i="10"/>
  <c r="AD11" i="10"/>
  <c r="AY11" i="10"/>
  <c r="BI11" i="10"/>
  <c r="P11" i="10"/>
  <c r="T36" i="10"/>
  <c r="V36" i="10" s="1"/>
  <c r="BA36" i="10"/>
  <c r="BL36" i="10"/>
  <c r="AH11" i="10"/>
  <c r="AZ11" i="10"/>
  <c r="BL11" i="10"/>
  <c r="R11" i="10"/>
  <c r="AL36" i="10"/>
  <c r="AN36" i="10" s="1"/>
  <c r="V11" i="27"/>
  <c r="Z11" i="27"/>
  <c r="BH36" i="10"/>
  <c r="X36" i="10"/>
  <c r="AM36" i="10"/>
  <c r="BK36" i="10"/>
  <c r="Y36" i="10"/>
  <c r="AG36" i="10"/>
  <c r="AB11" i="10"/>
  <c r="CA11" i="10"/>
  <c r="BK11" i="10"/>
  <c r="BN11" i="10"/>
  <c r="AV11" i="10"/>
  <c r="AW11" i="10"/>
  <c r="AS11" i="10"/>
  <c r="AM11" i="10"/>
  <c r="AP11" i="10"/>
  <c r="X11" i="10"/>
  <c r="Y11" i="10"/>
  <c r="U11" i="10"/>
  <c r="CG11" i="10"/>
  <c r="CF11" i="10"/>
  <c r="N45" i="8" l="1"/>
  <c r="N50" i="8"/>
  <c r="N51" i="8"/>
  <c r="N52" i="8"/>
  <c r="N54" i="8"/>
  <c r="N47" i="8"/>
  <c r="N55" i="8"/>
  <c r="N58" i="8"/>
  <c r="N42" i="8"/>
  <c r="N56" i="8"/>
  <c r="N49" i="8"/>
  <c r="N57" i="8"/>
  <c r="N48" i="8"/>
  <c r="N53" i="8"/>
  <c r="N46" i="8"/>
  <c r="BT36" i="10"/>
  <c r="BQ36" i="10"/>
  <c r="BB36" i="10"/>
  <c r="BC36" i="10"/>
  <c r="BO36" i="10"/>
  <c r="AH36" i="10"/>
  <c r="BN36" i="10"/>
  <c r="AK36" i="10"/>
  <c r="AJ36" i="10"/>
  <c r="BE36" i="10"/>
  <c r="AZ36" i="10"/>
  <c r="U36" i="10"/>
  <c r="AS36" i="10"/>
  <c r="AT36" i="10"/>
  <c r="AA11" i="27"/>
  <c r="AE11" i="27"/>
  <c r="W11" i="27"/>
  <c r="BY33" i="4" l="1"/>
  <c r="BX33" i="4"/>
  <c r="BV33" i="4"/>
  <c r="BU33" i="4"/>
  <c r="BS33" i="4"/>
  <c r="BR33" i="4"/>
  <c r="BY27" i="4" l="1"/>
  <c r="BX27" i="4"/>
  <c r="BV27" i="4"/>
  <c r="BU27" i="4"/>
  <c r="BS27" i="4"/>
  <c r="BR27" i="4"/>
  <c r="BP27" i="4"/>
  <c r="BO27" i="4"/>
  <c r="BM27" i="4"/>
  <c r="BL27" i="4"/>
  <c r="BJ27" i="4"/>
  <c r="BI27" i="4"/>
  <c r="BG27" i="4"/>
  <c r="BF27" i="4"/>
  <c r="BD27" i="4"/>
  <c r="BC27" i="4"/>
  <c r="BA27" i="4"/>
  <c r="AZ27" i="4"/>
  <c r="AX27" i="4"/>
  <c r="AW27" i="4"/>
  <c r="AU27" i="4"/>
  <c r="AT27" i="4"/>
  <c r="AR27" i="4"/>
  <c r="AQ27" i="4"/>
  <c r="AO27" i="4"/>
  <c r="AN27" i="4"/>
  <c r="AL27" i="4"/>
  <c r="AK27" i="4"/>
  <c r="AI27" i="4"/>
  <c r="AH27" i="4"/>
  <c r="AF27" i="4"/>
  <c r="AE27" i="4"/>
  <c r="AC27" i="4"/>
  <c r="AB27" i="4"/>
  <c r="Z27" i="4"/>
  <c r="Y27" i="4"/>
  <c r="W27" i="4"/>
  <c r="V27" i="4"/>
  <c r="T27" i="4"/>
  <c r="S27" i="4"/>
  <c r="Q27" i="4"/>
  <c r="P27" i="4"/>
  <c r="N27" i="4"/>
  <c r="M27" i="4"/>
  <c r="K27" i="4"/>
  <c r="J27" i="4"/>
  <c r="CG28" i="4" l="1"/>
  <c r="CG79" i="4" s="1"/>
  <c r="CD28" i="4"/>
  <c r="CD79" i="4" s="1"/>
  <c r="CA28" i="4"/>
  <c r="CH36" i="4"/>
  <c r="CE33" i="4"/>
  <c r="CD33" i="4"/>
  <c r="CJ31" i="4" l="1"/>
  <c r="CK31" i="4"/>
  <c r="CM31" i="4"/>
  <c r="CN31" i="4"/>
  <c r="BV31" i="4"/>
  <c r="BU31" i="4"/>
  <c r="BS31" i="4"/>
  <c r="BR31" i="4"/>
  <c r="BP31" i="4"/>
  <c r="BO31" i="4"/>
  <c r="BM31" i="4"/>
  <c r="BL31" i="4"/>
  <c r="BJ31" i="4"/>
  <c r="BI31" i="4"/>
  <c r="BG31" i="4"/>
  <c r="BF31" i="4"/>
  <c r="BD31" i="4"/>
  <c r="BC31" i="4"/>
  <c r="BA31" i="4"/>
  <c r="AZ31" i="4"/>
  <c r="AX31" i="4"/>
  <c r="AW31" i="4"/>
  <c r="AU31" i="4"/>
  <c r="AT31" i="4"/>
  <c r="AR31" i="4"/>
  <c r="AQ31" i="4"/>
  <c r="AO31" i="4"/>
  <c r="AN31" i="4"/>
  <c r="AL31" i="4"/>
  <c r="AK31" i="4"/>
  <c r="AI31" i="4"/>
  <c r="AH31" i="4"/>
  <c r="AF31" i="4"/>
  <c r="AE31" i="4"/>
  <c r="AC31" i="4"/>
  <c r="AB31" i="4"/>
  <c r="Z31" i="4"/>
  <c r="Y31" i="4"/>
  <c r="W31" i="4"/>
  <c r="V31" i="4"/>
  <c r="T31" i="4"/>
  <c r="S31" i="4"/>
  <c r="Q31" i="4"/>
  <c r="P31" i="4"/>
  <c r="N31" i="4"/>
  <c r="M31" i="4"/>
  <c r="K31" i="4"/>
  <c r="J31" i="4"/>
  <c r="BX31" i="4"/>
  <c r="BY31" i="4"/>
  <c r="CH28" i="4" l="1"/>
  <c r="CH79" i="4" s="1"/>
  <c r="CK28" i="4"/>
  <c r="CK79" i="4" s="1"/>
  <c r="CN28" i="4"/>
  <c r="CE28" i="4"/>
  <c r="CE79" i="4" s="1"/>
  <c r="CB28" i="4"/>
  <c r="CF44" i="4"/>
  <c r="CF4" i="4"/>
  <c r="CF64" i="4"/>
  <c r="CJ64" i="4" s="1"/>
  <c r="CF76" i="4"/>
  <c r="CJ76" i="4" s="1"/>
  <c r="CH74" i="4"/>
  <c r="CG74" i="4"/>
  <c r="CH73" i="4"/>
  <c r="CG73" i="4"/>
  <c r="CH72" i="4"/>
  <c r="CG72" i="4"/>
  <c r="CF71" i="4"/>
  <c r="CJ71" i="4" s="1"/>
  <c r="CF68" i="4"/>
  <c r="CJ68" i="4" s="1"/>
  <c r="CH67" i="4"/>
  <c r="CG67" i="4"/>
  <c r="CH66" i="4"/>
  <c r="CG66" i="4"/>
  <c r="CH65" i="4"/>
  <c r="CG65" i="4"/>
  <c r="CF61" i="4"/>
  <c r="CJ61" i="4" s="1"/>
  <c r="CH60" i="4"/>
  <c r="CG60" i="4"/>
  <c r="CH59" i="4"/>
  <c r="CG59" i="4"/>
  <c r="CH58" i="4"/>
  <c r="CG58" i="4"/>
  <c r="CH57" i="4"/>
  <c r="CG57" i="4"/>
  <c r="CH56" i="4"/>
  <c r="CG56" i="4"/>
  <c r="CF55" i="4"/>
  <c r="CJ55" i="4" s="1"/>
  <c r="CC37" i="4"/>
  <c r="CF69" i="4" l="1"/>
  <c r="CF62" i="4"/>
  <c r="CF77" i="4"/>
  <c r="S28" i="11" l="1"/>
  <c r="Q28" i="11"/>
  <c r="O28" i="11"/>
  <c r="M28" i="11"/>
  <c r="K28" i="11"/>
  <c r="I28" i="11"/>
  <c r="G28" i="11"/>
  <c r="D28" i="11"/>
  <c r="C28" i="11"/>
  <c r="CH17" i="4"/>
  <c r="CJ17" i="4"/>
  <c r="CH16" i="4"/>
  <c r="CJ16" i="4"/>
  <c r="CF43" i="4"/>
  <c r="CF37" i="4"/>
  <c r="CF26" i="4"/>
  <c r="CF14" i="4"/>
  <c r="CF25" i="4" l="1"/>
  <c r="CF51" i="4" s="1"/>
  <c r="CF3" i="4"/>
  <c r="CF52" i="4" l="1"/>
  <c r="I26" i="26" l="1"/>
  <c r="I44" i="26" s="1"/>
  <c r="K26" i="8"/>
  <c r="K44" i="8" s="1"/>
  <c r="K39" i="8" l="1"/>
  <c r="K38" i="8"/>
  <c r="K33" i="8"/>
  <c r="K30" i="8"/>
  <c r="K27" i="8"/>
  <c r="K20" i="8"/>
  <c r="K10" i="8"/>
  <c r="K7" i="8"/>
  <c r="K8" i="8" s="1"/>
  <c r="K6" i="8"/>
  <c r="T3" i="27"/>
  <c r="T36" i="27" s="1"/>
  <c r="K37" i="8" l="1"/>
  <c r="K42" i="8" s="1"/>
  <c r="K11" i="8"/>
  <c r="K17" i="8" s="1"/>
  <c r="CF36" i="10"/>
  <c r="CF9" i="10"/>
  <c r="CF10" i="10"/>
  <c r="CF8" i="10"/>
  <c r="AH36" i="27" s="1"/>
  <c r="CF7" i="10"/>
  <c r="CF6" i="10"/>
  <c r="CF5" i="10"/>
  <c r="CF4" i="10"/>
  <c r="CF3" i="10"/>
  <c r="F52" i="11"/>
  <c r="H52" i="11"/>
  <c r="J52" i="11"/>
  <c r="L52" i="11"/>
  <c r="N52" i="11"/>
  <c r="P52" i="11"/>
  <c r="R52" i="11"/>
  <c r="F55" i="11"/>
  <c r="F61" i="11"/>
  <c r="F64" i="11"/>
  <c r="F68" i="11"/>
  <c r="F71" i="11"/>
  <c r="F75" i="11"/>
  <c r="H55" i="11"/>
  <c r="H61" i="11"/>
  <c r="H62" i="11" s="1"/>
  <c r="H64" i="11"/>
  <c r="H68" i="11"/>
  <c r="H71" i="11"/>
  <c r="H75" i="11"/>
  <c r="J55" i="11"/>
  <c r="J62" i="11" s="1"/>
  <c r="J61" i="11"/>
  <c r="J64" i="11"/>
  <c r="J68" i="11"/>
  <c r="J71" i="11"/>
  <c r="J75" i="11"/>
  <c r="R4" i="4"/>
  <c r="R14" i="4"/>
  <c r="R26" i="4"/>
  <c r="R37" i="4"/>
  <c r="R44" i="4"/>
  <c r="R43" i="4" s="1"/>
  <c r="BF11" i="4"/>
  <c r="BD9" i="4"/>
  <c r="BF9" i="4"/>
  <c r="S9" i="11"/>
  <c r="Q9" i="11"/>
  <c r="O9" i="11"/>
  <c r="M9" i="11"/>
  <c r="K9" i="11"/>
  <c r="I9" i="11"/>
  <c r="G9" i="11"/>
  <c r="D9" i="11"/>
  <c r="C9" i="11"/>
  <c r="CN9" i="4"/>
  <c r="CM9" i="4"/>
  <c r="CK9" i="4"/>
  <c r="CJ9" i="4"/>
  <c r="CH9" i="4"/>
  <c r="CG9" i="4"/>
  <c r="CE9" i="4"/>
  <c r="CD9" i="4"/>
  <c r="CB9" i="4"/>
  <c r="CA9" i="4"/>
  <c r="BY9" i="4"/>
  <c r="BX9" i="4"/>
  <c r="BV9" i="4"/>
  <c r="BU9" i="4"/>
  <c r="BS9" i="4"/>
  <c r="BR9" i="4"/>
  <c r="BP9" i="4"/>
  <c r="BO9" i="4"/>
  <c r="BM9" i="4"/>
  <c r="BL9" i="4"/>
  <c r="BJ9" i="4"/>
  <c r="BI9" i="4"/>
  <c r="BG9" i="4"/>
  <c r="BC9" i="4"/>
  <c r="BA9" i="4"/>
  <c r="AZ9" i="4"/>
  <c r="AX9" i="4"/>
  <c r="AW9" i="4"/>
  <c r="AU9" i="4"/>
  <c r="AT9" i="4"/>
  <c r="AR9" i="4"/>
  <c r="AQ9" i="4"/>
  <c r="AO9" i="4"/>
  <c r="AN9" i="4"/>
  <c r="AL9" i="4"/>
  <c r="AK9" i="4"/>
  <c r="AI9" i="4"/>
  <c r="AH9" i="4"/>
  <c r="AF9" i="4"/>
  <c r="AE9" i="4"/>
  <c r="AC9" i="4"/>
  <c r="AB9" i="4"/>
  <c r="Z9" i="4"/>
  <c r="Y9" i="4"/>
  <c r="W9" i="4"/>
  <c r="V9" i="4"/>
  <c r="T9" i="4"/>
  <c r="S9" i="4"/>
  <c r="Q9" i="4"/>
  <c r="P9" i="4"/>
  <c r="N9" i="4"/>
  <c r="M9" i="4"/>
  <c r="K9" i="4"/>
  <c r="J9" i="4"/>
  <c r="H76" i="11" l="1"/>
  <c r="H69" i="11"/>
  <c r="J76" i="11"/>
  <c r="F69" i="11"/>
  <c r="J69" i="11"/>
  <c r="F62" i="11"/>
  <c r="R25" i="4"/>
  <c r="R51" i="4" s="1"/>
  <c r="R3" i="4"/>
  <c r="K54" i="8"/>
  <c r="K46" i="8"/>
  <c r="K53" i="8"/>
  <c r="K49" i="8"/>
  <c r="K48" i="8"/>
  <c r="K55" i="8"/>
  <c r="K52" i="8"/>
  <c r="K51" i="8"/>
  <c r="K47" i="8"/>
  <c r="K58" i="8"/>
  <c r="K50" i="8"/>
  <c r="K57" i="8"/>
  <c r="K56" i="8"/>
  <c r="K45" i="8"/>
  <c r="K22" i="8"/>
  <c r="K23" i="8" s="1"/>
  <c r="K18" i="8"/>
  <c r="K12" i="8"/>
  <c r="F76" i="11"/>
  <c r="Q74" i="11"/>
  <c r="Q73" i="11"/>
  <c r="Q72" i="11"/>
  <c r="Q67" i="11"/>
  <c r="Q66" i="11"/>
  <c r="Q65" i="11"/>
  <c r="Q60" i="11"/>
  <c r="Q59" i="11"/>
  <c r="Q58" i="11"/>
  <c r="Q57" i="11"/>
  <c r="Q56" i="11"/>
  <c r="O74" i="11"/>
  <c r="O73" i="11"/>
  <c r="O72" i="11"/>
  <c r="O67" i="11"/>
  <c r="O66" i="11"/>
  <c r="O65" i="11"/>
  <c r="O60" i="11"/>
  <c r="O59" i="11"/>
  <c r="O58" i="11"/>
  <c r="O57" i="11"/>
  <c r="O56" i="11"/>
  <c r="M74" i="11"/>
  <c r="M73" i="11"/>
  <c r="M72" i="11"/>
  <c r="M67" i="11"/>
  <c r="M66" i="11"/>
  <c r="M65" i="11"/>
  <c r="M60" i="11"/>
  <c r="M59" i="11"/>
  <c r="M58" i="11"/>
  <c r="M57" i="11"/>
  <c r="M56" i="11"/>
  <c r="K74" i="11"/>
  <c r="K73" i="11"/>
  <c r="K72" i="11"/>
  <c r="K67" i="11"/>
  <c r="K66" i="11"/>
  <c r="K65" i="11"/>
  <c r="K60" i="11"/>
  <c r="K59" i="11"/>
  <c r="K58" i="11"/>
  <c r="K57" i="11"/>
  <c r="K56" i="11"/>
  <c r="I74" i="11"/>
  <c r="I73" i="11"/>
  <c r="I72" i="11"/>
  <c r="I67" i="11"/>
  <c r="I66" i="11"/>
  <c r="I65" i="11"/>
  <c r="I60" i="11"/>
  <c r="I59" i="11"/>
  <c r="I58" i="11"/>
  <c r="I57" i="11"/>
  <c r="I56" i="11"/>
  <c r="G74" i="11"/>
  <c r="G73" i="11"/>
  <c r="G72" i="11"/>
  <c r="G67" i="11"/>
  <c r="G66" i="11"/>
  <c r="G65" i="11"/>
  <c r="G60" i="11"/>
  <c r="G59" i="11"/>
  <c r="G58" i="11"/>
  <c r="G57" i="11"/>
  <c r="G56" i="11"/>
  <c r="BG74" i="4"/>
  <c r="BG73" i="4"/>
  <c r="BG72" i="4"/>
  <c r="BG67" i="4"/>
  <c r="BG66" i="4"/>
  <c r="BG65" i="4"/>
  <c r="BG60" i="4"/>
  <c r="BG59" i="4"/>
  <c r="BG58" i="4"/>
  <c r="BG57" i="4"/>
  <c r="BG56" i="4"/>
  <c r="BJ74" i="4"/>
  <c r="BJ73" i="4"/>
  <c r="BJ72" i="4"/>
  <c r="BJ67" i="4"/>
  <c r="BJ66" i="4"/>
  <c r="BJ65" i="4"/>
  <c r="BJ60" i="4"/>
  <c r="BJ59" i="4"/>
  <c r="BJ58" i="4"/>
  <c r="BJ57" i="4"/>
  <c r="BJ56" i="4"/>
  <c r="BM74" i="4"/>
  <c r="BM73" i="4"/>
  <c r="BM72" i="4"/>
  <c r="BM67" i="4"/>
  <c r="BM66" i="4"/>
  <c r="BM65" i="4"/>
  <c r="BM60" i="4"/>
  <c r="BM59" i="4"/>
  <c r="BM58" i="4"/>
  <c r="BM57" i="4"/>
  <c r="BM56" i="4"/>
  <c r="BP74" i="4"/>
  <c r="BP73" i="4"/>
  <c r="BP72" i="4"/>
  <c r="BP67" i="4"/>
  <c r="BP66" i="4"/>
  <c r="BP65" i="4"/>
  <c r="BP60" i="4"/>
  <c r="BP59" i="4"/>
  <c r="BP58" i="4"/>
  <c r="BP57" i="4"/>
  <c r="BP56" i="4"/>
  <c r="BV74" i="4"/>
  <c r="BV73" i="4"/>
  <c r="BV72" i="4"/>
  <c r="BV67" i="4"/>
  <c r="BV66" i="4"/>
  <c r="BV65" i="4"/>
  <c r="BV60" i="4"/>
  <c r="BV59" i="4"/>
  <c r="BV58" i="4"/>
  <c r="BV57" i="4"/>
  <c r="BV56" i="4"/>
  <c r="BY74" i="4"/>
  <c r="BY73" i="4"/>
  <c r="BY72" i="4"/>
  <c r="BY67" i="4"/>
  <c r="BY66" i="4"/>
  <c r="BY65" i="4"/>
  <c r="BY60" i="4"/>
  <c r="BY59" i="4"/>
  <c r="BY58" i="4"/>
  <c r="BY57" i="4"/>
  <c r="BY56" i="4"/>
  <c r="CB74" i="4"/>
  <c r="CB73" i="4"/>
  <c r="CB72" i="4"/>
  <c r="CB67" i="4"/>
  <c r="CB66" i="4"/>
  <c r="CB65" i="4"/>
  <c r="CB60" i="4"/>
  <c r="CB59" i="4"/>
  <c r="CB58" i="4"/>
  <c r="CB57" i="4"/>
  <c r="CB56" i="4"/>
  <c r="CA74" i="4"/>
  <c r="CA73" i="4"/>
  <c r="CA72" i="4"/>
  <c r="CA67" i="4"/>
  <c r="CA66" i="4"/>
  <c r="CA65" i="4"/>
  <c r="CA60" i="4"/>
  <c r="CA59" i="4"/>
  <c r="CA58" i="4"/>
  <c r="CA57" i="4"/>
  <c r="CA56" i="4"/>
  <c r="BX74" i="4"/>
  <c r="BX73" i="4"/>
  <c r="BX72" i="4"/>
  <c r="BX67" i="4"/>
  <c r="BX66" i="4"/>
  <c r="BX65" i="4"/>
  <c r="BX60" i="4"/>
  <c r="BX59" i="4"/>
  <c r="BX58" i="4"/>
  <c r="BX57" i="4"/>
  <c r="BX56" i="4"/>
  <c r="BU74" i="4"/>
  <c r="BU73" i="4"/>
  <c r="BU72" i="4"/>
  <c r="BU67" i="4"/>
  <c r="BU66" i="4"/>
  <c r="BU65" i="4"/>
  <c r="BU60" i="4"/>
  <c r="BU59" i="4"/>
  <c r="BU58" i="4"/>
  <c r="BU57" i="4"/>
  <c r="BU56" i="4"/>
  <c r="BO74" i="4"/>
  <c r="BO73" i="4"/>
  <c r="BO72" i="4"/>
  <c r="BO67" i="4"/>
  <c r="BO66" i="4"/>
  <c r="BO65" i="4"/>
  <c r="BO60" i="4"/>
  <c r="BO59" i="4"/>
  <c r="BO58" i="4"/>
  <c r="BO57" i="4"/>
  <c r="BO56" i="4"/>
  <c r="BL74" i="4"/>
  <c r="BL73" i="4"/>
  <c r="BL72" i="4"/>
  <c r="BL67" i="4"/>
  <c r="BL66" i="4"/>
  <c r="BL65" i="4"/>
  <c r="BL60" i="4"/>
  <c r="BL59" i="4"/>
  <c r="BL58" i="4"/>
  <c r="BL57" i="4"/>
  <c r="BL56" i="4"/>
  <c r="BI74" i="4"/>
  <c r="BI73" i="4"/>
  <c r="BI72" i="4"/>
  <c r="BI67" i="4"/>
  <c r="BI66" i="4"/>
  <c r="BI65" i="4"/>
  <c r="BI60" i="4"/>
  <c r="BI59" i="4"/>
  <c r="BI58" i="4"/>
  <c r="BI57" i="4"/>
  <c r="BI56" i="4"/>
  <c r="BF74" i="4"/>
  <c r="BF73" i="4"/>
  <c r="BF72" i="4"/>
  <c r="BF67" i="4"/>
  <c r="BF66" i="4"/>
  <c r="BF65" i="4"/>
  <c r="BF60" i="4"/>
  <c r="BF59" i="4"/>
  <c r="BF58" i="4"/>
  <c r="BF57" i="4"/>
  <c r="BF56" i="4"/>
  <c r="BC74" i="4"/>
  <c r="BC73" i="4"/>
  <c r="BC72" i="4"/>
  <c r="BC67" i="4"/>
  <c r="BC66" i="4"/>
  <c r="BC65" i="4"/>
  <c r="BC60" i="4"/>
  <c r="BC59" i="4"/>
  <c r="BC58" i="4"/>
  <c r="BC57" i="4"/>
  <c r="BC56" i="4"/>
  <c r="AZ74" i="4"/>
  <c r="AZ73" i="4"/>
  <c r="AZ72" i="4"/>
  <c r="AZ67" i="4"/>
  <c r="AZ66" i="4"/>
  <c r="AZ65" i="4"/>
  <c r="AZ60" i="4"/>
  <c r="AZ59" i="4"/>
  <c r="AZ58" i="4"/>
  <c r="AZ57" i="4"/>
  <c r="AZ56" i="4"/>
  <c r="AW74" i="4"/>
  <c r="AW73" i="4"/>
  <c r="AW72" i="4"/>
  <c r="AW67" i="4"/>
  <c r="AW66" i="4"/>
  <c r="AW65" i="4"/>
  <c r="AW60" i="4"/>
  <c r="AW59" i="4"/>
  <c r="AW58" i="4"/>
  <c r="AW57" i="4"/>
  <c r="AW56" i="4"/>
  <c r="AT74" i="4"/>
  <c r="AT73" i="4"/>
  <c r="AT72" i="4"/>
  <c r="AT67" i="4"/>
  <c r="AT66" i="4"/>
  <c r="AT65" i="4"/>
  <c r="AT60" i="4"/>
  <c r="AT59" i="4"/>
  <c r="AT58" i="4"/>
  <c r="AT57" i="4"/>
  <c r="AT56" i="4"/>
  <c r="BS74" i="4"/>
  <c r="BR74" i="4"/>
  <c r="BS73" i="4"/>
  <c r="BR73" i="4"/>
  <c r="BS72" i="4"/>
  <c r="BR72" i="4"/>
  <c r="BS67" i="4"/>
  <c r="BR67" i="4"/>
  <c r="BS66" i="4"/>
  <c r="BR66" i="4"/>
  <c r="BS65" i="4"/>
  <c r="BR65" i="4"/>
  <c r="BS60" i="4"/>
  <c r="BR60" i="4"/>
  <c r="BS59" i="4"/>
  <c r="BR59" i="4"/>
  <c r="BS58" i="4"/>
  <c r="BR58" i="4"/>
  <c r="BS57" i="4"/>
  <c r="BR57" i="4"/>
  <c r="BS56" i="4"/>
  <c r="BR56" i="4"/>
  <c r="CE74" i="4"/>
  <c r="CD74" i="4"/>
  <c r="CE73" i="4"/>
  <c r="CD73" i="4"/>
  <c r="CE72" i="4"/>
  <c r="CD72" i="4"/>
  <c r="CE67" i="4"/>
  <c r="CD67" i="4"/>
  <c r="CE66" i="4"/>
  <c r="CD66" i="4"/>
  <c r="CE65" i="4"/>
  <c r="CD65" i="4"/>
  <c r="CE60" i="4"/>
  <c r="CD60" i="4"/>
  <c r="CE59" i="4"/>
  <c r="CD59" i="4"/>
  <c r="CE58" i="4"/>
  <c r="CD58" i="4"/>
  <c r="CE57" i="4"/>
  <c r="CD57" i="4"/>
  <c r="CE56" i="4"/>
  <c r="CD56" i="4"/>
  <c r="CE50" i="4"/>
  <c r="CE49" i="4"/>
  <c r="CD49" i="4"/>
  <c r="CE48" i="4"/>
  <c r="CD48" i="4"/>
  <c r="CE47" i="4"/>
  <c r="CE86" i="4" s="1"/>
  <c r="CD47" i="4"/>
  <c r="CD86" i="4" s="1"/>
  <c r="CE46" i="4"/>
  <c r="CD46" i="4"/>
  <c r="CE45" i="4"/>
  <c r="CD45" i="4"/>
  <c r="CE42" i="4"/>
  <c r="CD42" i="4"/>
  <c r="CE41" i="4"/>
  <c r="CD41" i="4"/>
  <c r="CE40" i="4"/>
  <c r="CD40" i="4"/>
  <c r="CE39" i="4"/>
  <c r="CD39" i="4"/>
  <c r="CE38" i="4"/>
  <c r="CD38" i="4"/>
  <c r="CE36" i="4"/>
  <c r="CD36" i="4"/>
  <c r="CE35" i="4"/>
  <c r="CD35" i="4"/>
  <c r="CE34" i="4"/>
  <c r="CD34" i="4"/>
  <c r="CE32" i="4"/>
  <c r="CD32" i="4"/>
  <c r="CE30" i="4"/>
  <c r="CD30" i="4"/>
  <c r="CE29" i="4"/>
  <c r="CD29" i="4"/>
  <c r="CE27" i="4"/>
  <c r="CD27" i="4"/>
  <c r="CE24" i="4"/>
  <c r="CD24" i="4"/>
  <c r="CE23" i="4"/>
  <c r="CD23" i="4"/>
  <c r="CE22" i="4"/>
  <c r="CD22" i="4"/>
  <c r="CE21" i="4"/>
  <c r="CD21" i="4"/>
  <c r="CE20" i="4"/>
  <c r="CD20" i="4"/>
  <c r="CE19" i="4"/>
  <c r="CD19" i="4"/>
  <c r="CE18" i="4"/>
  <c r="CD18" i="4"/>
  <c r="CE17" i="4"/>
  <c r="CD17" i="4"/>
  <c r="CE16" i="4"/>
  <c r="CD16" i="4"/>
  <c r="CE15" i="4"/>
  <c r="CD15" i="4"/>
  <c r="CE13" i="4"/>
  <c r="CD13" i="4"/>
  <c r="CE12" i="4"/>
  <c r="CD12" i="4"/>
  <c r="CE10" i="4"/>
  <c r="CD10" i="4"/>
  <c r="CE8" i="4"/>
  <c r="CD8" i="4"/>
  <c r="CE7" i="4"/>
  <c r="CD7" i="4"/>
  <c r="CE6" i="4"/>
  <c r="CD6" i="4"/>
  <c r="CE5" i="4"/>
  <c r="CD5" i="4"/>
  <c r="R52" i="4" l="1"/>
  <c r="A3" i="10"/>
  <c r="Q50" i="11"/>
  <c r="Q49" i="11"/>
  <c r="Q48" i="11"/>
  <c r="Q47" i="11"/>
  <c r="Q46" i="11"/>
  <c r="Q45" i="11"/>
  <c r="Q42" i="11"/>
  <c r="Q41" i="11"/>
  <c r="Q40" i="11"/>
  <c r="Q39" i="11"/>
  <c r="Q38" i="11"/>
  <c r="Q35" i="11"/>
  <c r="Q34" i="11"/>
  <c r="Q33" i="11"/>
  <c r="Q32" i="11"/>
  <c r="Q31" i="11"/>
  <c r="Q30" i="11"/>
  <c r="Q29" i="11"/>
  <c r="Q27" i="11"/>
  <c r="Q24" i="11"/>
  <c r="Q23" i="11"/>
  <c r="Q22" i="11"/>
  <c r="Q21" i="11"/>
  <c r="Q20" i="11"/>
  <c r="Q19" i="11"/>
  <c r="Q18" i="11"/>
  <c r="Q17" i="11"/>
  <c r="Q16" i="11"/>
  <c r="Q15" i="11"/>
  <c r="Q13" i="11"/>
  <c r="Q12" i="11"/>
  <c r="Q11" i="11"/>
  <c r="Q10" i="11"/>
  <c r="Q8" i="11"/>
  <c r="Q7" i="11"/>
  <c r="Q6" i="11"/>
  <c r="Q5" i="11"/>
  <c r="N75" i="11"/>
  <c r="L75" i="11"/>
  <c r="M75" i="11" s="1"/>
  <c r="K75" i="11"/>
  <c r="E75" i="11"/>
  <c r="G75" i="11" s="1"/>
  <c r="N71" i="11"/>
  <c r="L71" i="11"/>
  <c r="M71" i="11" s="1"/>
  <c r="K71" i="11"/>
  <c r="I71" i="11"/>
  <c r="G71" i="11"/>
  <c r="E71" i="11"/>
  <c r="N68" i="11"/>
  <c r="L68" i="11"/>
  <c r="E68" i="11"/>
  <c r="G68" i="11" s="1"/>
  <c r="N64" i="11"/>
  <c r="O64" i="11" s="1"/>
  <c r="L64" i="11"/>
  <c r="K64" i="11"/>
  <c r="E64" i="11"/>
  <c r="N61" i="11"/>
  <c r="L61" i="11"/>
  <c r="K61" i="11"/>
  <c r="E61" i="11"/>
  <c r="G61" i="11" s="1"/>
  <c r="N55" i="11"/>
  <c r="L55" i="11"/>
  <c r="M55" i="11" s="1"/>
  <c r="K55" i="11"/>
  <c r="I55" i="11"/>
  <c r="G55" i="11"/>
  <c r="E55" i="11"/>
  <c r="O50" i="11"/>
  <c r="M50" i="11"/>
  <c r="K50" i="11"/>
  <c r="I50" i="11"/>
  <c r="G50" i="11"/>
  <c r="O49" i="11"/>
  <c r="M49" i="11"/>
  <c r="K49" i="11"/>
  <c r="I49" i="11"/>
  <c r="G49" i="11"/>
  <c r="O48" i="11"/>
  <c r="M48" i="11"/>
  <c r="K48" i="11"/>
  <c r="I48" i="11"/>
  <c r="G48" i="11"/>
  <c r="O47" i="11"/>
  <c r="M47" i="11"/>
  <c r="K47" i="11"/>
  <c r="I47" i="11"/>
  <c r="G47" i="11"/>
  <c r="O46" i="11"/>
  <c r="M46" i="11"/>
  <c r="K46" i="11"/>
  <c r="I46" i="11"/>
  <c r="G46" i="11"/>
  <c r="O45" i="11"/>
  <c r="M45" i="11"/>
  <c r="K45" i="11"/>
  <c r="I45" i="11"/>
  <c r="G45" i="11"/>
  <c r="E44" i="11"/>
  <c r="E43" i="11" s="1"/>
  <c r="O42" i="11"/>
  <c r="M42" i="11"/>
  <c r="K42" i="11"/>
  <c r="I42" i="11"/>
  <c r="G42" i="11"/>
  <c r="O41" i="11"/>
  <c r="M41" i="11"/>
  <c r="K41" i="11"/>
  <c r="I41" i="11"/>
  <c r="G41" i="11"/>
  <c r="O40" i="11"/>
  <c r="M40" i="11"/>
  <c r="K40" i="11"/>
  <c r="I40" i="11"/>
  <c r="G40" i="11"/>
  <c r="O39" i="11"/>
  <c r="M39" i="11"/>
  <c r="K39" i="11"/>
  <c r="I39" i="11"/>
  <c r="G39" i="11"/>
  <c r="O38" i="11"/>
  <c r="M38" i="11"/>
  <c r="K38" i="11"/>
  <c r="I38" i="11"/>
  <c r="G38" i="11"/>
  <c r="E37" i="11"/>
  <c r="O35" i="11"/>
  <c r="M35" i="11"/>
  <c r="K35" i="11"/>
  <c r="I35" i="11"/>
  <c r="G35" i="11"/>
  <c r="O34" i="11"/>
  <c r="M34" i="11"/>
  <c r="K34" i="11"/>
  <c r="I34" i="11"/>
  <c r="G34" i="11"/>
  <c r="O33" i="11"/>
  <c r="M33" i="11"/>
  <c r="O32" i="11"/>
  <c r="M32" i="11"/>
  <c r="K32" i="11"/>
  <c r="I32" i="11"/>
  <c r="G32" i="11"/>
  <c r="O31" i="11"/>
  <c r="M31" i="11"/>
  <c r="K31" i="11"/>
  <c r="I31" i="11"/>
  <c r="G31" i="11"/>
  <c r="O30" i="11"/>
  <c r="M30" i="11"/>
  <c r="K30" i="11"/>
  <c r="I30" i="11"/>
  <c r="G30" i="11"/>
  <c r="O29" i="11"/>
  <c r="M29" i="11"/>
  <c r="K29" i="11"/>
  <c r="I29" i="11"/>
  <c r="G29" i="11"/>
  <c r="O27" i="11"/>
  <c r="M27" i="11"/>
  <c r="K27" i="11"/>
  <c r="I27" i="11"/>
  <c r="G27" i="11"/>
  <c r="E26" i="11"/>
  <c r="O24" i="11"/>
  <c r="M24" i="11"/>
  <c r="K24" i="11"/>
  <c r="I24" i="11"/>
  <c r="G24" i="11"/>
  <c r="O23" i="11"/>
  <c r="M23" i="11"/>
  <c r="K23" i="11"/>
  <c r="I23" i="11"/>
  <c r="G23" i="11"/>
  <c r="O22" i="11"/>
  <c r="M22" i="11"/>
  <c r="K22" i="11"/>
  <c r="I22" i="11"/>
  <c r="G22" i="11"/>
  <c r="O21" i="11"/>
  <c r="M21" i="11"/>
  <c r="K21" i="11"/>
  <c r="I21" i="11"/>
  <c r="G21" i="11"/>
  <c r="O20" i="11"/>
  <c r="M20" i="11"/>
  <c r="K20" i="11"/>
  <c r="I20" i="11"/>
  <c r="G20" i="11"/>
  <c r="O19" i="11"/>
  <c r="M19" i="11"/>
  <c r="K19" i="11"/>
  <c r="I19" i="11"/>
  <c r="G19" i="11"/>
  <c r="O18" i="11"/>
  <c r="M18" i="11"/>
  <c r="K18" i="11"/>
  <c r="I18" i="11"/>
  <c r="G18" i="11"/>
  <c r="O17" i="11"/>
  <c r="M17" i="11"/>
  <c r="O16" i="11"/>
  <c r="M16" i="11"/>
  <c r="O15" i="11"/>
  <c r="M15" i="11"/>
  <c r="K15" i="11"/>
  <c r="I15" i="11"/>
  <c r="G15" i="11"/>
  <c r="E14" i="11"/>
  <c r="O13" i="11"/>
  <c r="M13" i="11"/>
  <c r="K13" i="11"/>
  <c r="I13" i="11"/>
  <c r="G13" i="11"/>
  <c r="O12" i="11"/>
  <c r="M12" i="11"/>
  <c r="K12" i="11"/>
  <c r="I12" i="11"/>
  <c r="G12" i="11"/>
  <c r="O11" i="11"/>
  <c r="M11" i="11"/>
  <c r="K11" i="11"/>
  <c r="I11" i="11"/>
  <c r="G11" i="11"/>
  <c r="O10" i="11"/>
  <c r="M10" i="11"/>
  <c r="K10" i="11"/>
  <c r="I10" i="11"/>
  <c r="G10" i="11"/>
  <c r="O8" i="11"/>
  <c r="M8" i="11"/>
  <c r="K8" i="11"/>
  <c r="I8" i="11"/>
  <c r="G8" i="11"/>
  <c r="O7" i="11"/>
  <c r="M7" i="11"/>
  <c r="K7" i="11"/>
  <c r="I7" i="11"/>
  <c r="G7" i="11"/>
  <c r="O6" i="11"/>
  <c r="M6" i="11"/>
  <c r="K6" i="11"/>
  <c r="I6" i="11"/>
  <c r="G6" i="11"/>
  <c r="O5" i="11"/>
  <c r="M5" i="11"/>
  <c r="K5" i="11"/>
  <c r="I5" i="11"/>
  <c r="G5" i="11"/>
  <c r="E4" i="11"/>
  <c r="P34" i="5"/>
  <c r="P32" i="5"/>
  <c r="P9" i="5"/>
  <c r="P31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0" i="5"/>
  <c r="P13" i="5"/>
  <c r="P12" i="5"/>
  <c r="P8" i="5"/>
  <c r="P7" i="5"/>
  <c r="P6" i="5"/>
  <c r="P5" i="5"/>
  <c r="P4" i="5"/>
  <c r="P3" i="5"/>
  <c r="N34" i="5"/>
  <c r="L34" i="5"/>
  <c r="J34" i="5"/>
  <c r="H34" i="5"/>
  <c r="F34" i="5"/>
  <c r="N32" i="5"/>
  <c r="L32" i="5"/>
  <c r="J32" i="5"/>
  <c r="H32" i="5"/>
  <c r="F32" i="5"/>
  <c r="N9" i="5"/>
  <c r="L9" i="5"/>
  <c r="J9" i="5"/>
  <c r="H9" i="5"/>
  <c r="F9" i="5"/>
  <c r="N31" i="5"/>
  <c r="L31" i="5"/>
  <c r="J31" i="5"/>
  <c r="H31" i="5"/>
  <c r="F31" i="5"/>
  <c r="N29" i="5"/>
  <c r="L29" i="5"/>
  <c r="J29" i="5"/>
  <c r="H29" i="5"/>
  <c r="F29" i="5"/>
  <c r="N28" i="5"/>
  <c r="L28" i="5"/>
  <c r="J28" i="5"/>
  <c r="H28" i="5"/>
  <c r="F28" i="5"/>
  <c r="N27" i="5"/>
  <c r="L27" i="5"/>
  <c r="J27" i="5"/>
  <c r="H27" i="5"/>
  <c r="F27" i="5"/>
  <c r="N26" i="5"/>
  <c r="L26" i="5"/>
  <c r="J26" i="5"/>
  <c r="H26" i="5"/>
  <c r="F26" i="5"/>
  <c r="N25" i="5"/>
  <c r="L25" i="5"/>
  <c r="J25" i="5"/>
  <c r="H25" i="5"/>
  <c r="F25" i="5"/>
  <c r="N24" i="5"/>
  <c r="L24" i="5"/>
  <c r="J24" i="5"/>
  <c r="H24" i="5"/>
  <c r="F24" i="5"/>
  <c r="N23" i="5"/>
  <c r="L23" i="5"/>
  <c r="J23" i="5"/>
  <c r="H23" i="5"/>
  <c r="F23" i="5"/>
  <c r="N22" i="5"/>
  <c r="L22" i="5"/>
  <c r="J22" i="5"/>
  <c r="H22" i="5"/>
  <c r="F22" i="5"/>
  <c r="N21" i="5"/>
  <c r="L21" i="5"/>
  <c r="J21" i="5"/>
  <c r="H21" i="5"/>
  <c r="F21" i="5"/>
  <c r="N20" i="5"/>
  <c r="L20" i="5"/>
  <c r="J20" i="5"/>
  <c r="H20" i="5"/>
  <c r="F20" i="5"/>
  <c r="N19" i="5"/>
  <c r="L19" i="5"/>
  <c r="J19" i="5"/>
  <c r="H19" i="5"/>
  <c r="F19" i="5"/>
  <c r="N18" i="5"/>
  <c r="L18" i="5"/>
  <c r="J18" i="5"/>
  <c r="H18" i="5"/>
  <c r="F18" i="5"/>
  <c r="N17" i="5"/>
  <c r="L17" i="5"/>
  <c r="J17" i="5"/>
  <c r="H17" i="5"/>
  <c r="F17" i="5"/>
  <c r="N16" i="5"/>
  <c r="L16" i="5"/>
  <c r="J16" i="5"/>
  <c r="H16" i="5"/>
  <c r="F16" i="5"/>
  <c r="N15" i="5"/>
  <c r="L15" i="5"/>
  <c r="J15" i="5"/>
  <c r="H15" i="5"/>
  <c r="F15" i="5"/>
  <c r="H14" i="5"/>
  <c r="F14" i="5"/>
  <c r="N10" i="5"/>
  <c r="L10" i="5"/>
  <c r="J10" i="5"/>
  <c r="H10" i="5"/>
  <c r="F10" i="5"/>
  <c r="N13" i="5"/>
  <c r="L13" i="5"/>
  <c r="J13" i="5"/>
  <c r="H13" i="5"/>
  <c r="F13" i="5"/>
  <c r="N12" i="5"/>
  <c r="L12" i="5"/>
  <c r="J12" i="5"/>
  <c r="H12" i="5"/>
  <c r="F12" i="5"/>
  <c r="N8" i="5"/>
  <c r="L8" i="5"/>
  <c r="J8" i="5"/>
  <c r="H8" i="5"/>
  <c r="F8" i="5"/>
  <c r="N7" i="5"/>
  <c r="L7" i="5"/>
  <c r="J7" i="5"/>
  <c r="H7" i="5"/>
  <c r="F7" i="5"/>
  <c r="N6" i="5"/>
  <c r="L6" i="5"/>
  <c r="J6" i="5"/>
  <c r="H6" i="5"/>
  <c r="F6" i="5"/>
  <c r="N5" i="5"/>
  <c r="L5" i="5"/>
  <c r="J5" i="5"/>
  <c r="H5" i="5"/>
  <c r="F5" i="5"/>
  <c r="N4" i="5"/>
  <c r="L4" i="5"/>
  <c r="J4" i="5"/>
  <c r="H4" i="5"/>
  <c r="F4" i="5"/>
  <c r="N3" i="5"/>
  <c r="L3" i="5"/>
  <c r="J3" i="5"/>
  <c r="H3" i="5"/>
  <c r="F3" i="5"/>
  <c r="BC34" i="10"/>
  <c r="AZ34" i="10"/>
  <c r="AW34" i="10"/>
  <c r="AT34" i="10"/>
  <c r="AQ34" i="10"/>
  <c r="AN34" i="10"/>
  <c r="AK34" i="10"/>
  <c r="AH34" i="10"/>
  <c r="AE34" i="10"/>
  <c r="AB34" i="10"/>
  <c r="Y34" i="10"/>
  <c r="V34" i="10"/>
  <c r="S34" i="10"/>
  <c r="P34" i="10"/>
  <c r="M34" i="10"/>
  <c r="J34" i="10"/>
  <c r="BC35" i="10"/>
  <c r="AZ35" i="10"/>
  <c r="AW35" i="10"/>
  <c r="AT35" i="10"/>
  <c r="AQ35" i="10"/>
  <c r="AP35" i="10"/>
  <c r="AN35" i="10"/>
  <c r="AK35" i="10"/>
  <c r="AH35" i="10"/>
  <c r="AE35" i="10"/>
  <c r="AB35" i="10"/>
  <c r="Y35" i="10"/>
  <c r="V35" i="10"/>
  <c r="S35" i="10"/>
  <c r="P35" i="10"/>
  <c r="M35" i="10"/>
  <c r="J35" i="10"/>
  <c r="BC32" i="10"/>
  <c r="BB32" i="10"/>
  <c r="AZ32" i="10"/>
  <c r="AY32" i="10"/>
  <c r="AW32" i="10"/>
  <c r="AV32" i="10"/>
  <c r="AT32" i="10"/>
  <c r="AS32" i="10"/>
  <c r="AQ32" i="10"/>
  <c r="AP32" i="10"/>
  <c r="AN32" i="10"/>
  <c r="AM32" i="10"/>
  <c r="AK32" i="10"/>
  <c r="AJ32" i="10"/>
  <c r="AH32" i="10"/>
  <c r="AG32" i="10"/>
  <c r="AE32" i="10"/>
  <c r="AD32" i="10"/>
  <c r="AB32" i="10"/>
  <c r="AA32" i="10"/>
  <c r="Y32" i="10"/>
  <c r="X32" i="10"/>
  <c r="V32" i="10"/>
  <c r="U32" i="10"/>
  <c r="S32" i="10"/>
  <c r="R32" i="10"/>
  <c r="P32" i="10"/>
  <c r="O32" i="10"/>
  <c r="M32" i="10"/>
  <c r="L32" i="10"/>
  <c r="J32" i="10"/>
  <c r="I32" i="10"/>
  <c r="BC9" i="10"/>
  <c r="BB9" i="10"/>
  <c r="AZ9" i="10"/>
  <c r="AY9" i="10"/>
  <c r="AW9" i="10"/>
  <c r="AV9" i="10"/>
  <c r="AT9" i="10"/>
  <c r="AS9" i="10"/>
  <c r="AQ9" i="10"/>
  <c r="AP9" i="10"/>
  <c r="AN9" i="10"/>
  <c r="AM9" i="10"/>
  <c r="AK9" i="10"/>
  <c r="AJ9" i="10"/>
  <c r="AH9" i="10"/>
  <c r="AG9" i="10"/>
  <c r="AE9" i="10"/>
  <c r="AD9" i="10"/>
  <c r="AB9" i="10"/>
  <c r="AA9" i="10"/>
  <c r="Y9" i="10"/>
  <c r="X9" i="10"/>
  <c r="V9" i="10"/>
  <c r="U9" i="10"/>
  <c r="S9" i="10"/>
  <c r="R9" i="10"/>
  <c r="P9" i="10"/>
  <c r="O9" i="10"/>
  <c r="M9" i="10"/>
  <c r="L9" i="10"/>
  <c r="J9" i="10"/>
  <c r="I9" i="10"/>
  <c r="BC31" i="10"/>
  <c r="BB31" i="10"/>
  <c r="AZ31" i="10"/>
  <c r="AY31" i="10"/>
  <c r="AW31" i="10"/>
  <c r="AV31" i="10"/>
  <c r="AT31" i="10"/>
  <c r="AS31" i="10"/>
  <c r="AQ31" i="10"/>
  <c r="AP31" i="10"/>
  <c r="AN31" i="10"/>
  <c r="AM31" i="10"/>
  <c r="AK31" i="10"/>
  <c r="AJ31" i="10"/>
  <c r="AH31" i="10"/>
  <c r="AG31" i="10"/>
  <c r="AE31" i="10"/>
  <c r="AD31" i="10"/>
  <c r="AB31" i="10"/>
  <c r="AA31" i="10"/>
  <c r="Y31" i="10"/>
  <c r="X31" i="10"/>
  <c r="V31" i="10"/>
  <c r="U31" i="10"/>
  <c r="S31" i="10"/>
  <c r="R31" i="10"/>
  <c r="P31" i="10"/>
  <c r="O31" i="10"/>
  <c r="M31" i="10"/>
  <c r="L31" i="10"/>
  <c r="J31" i="10"/>
  <c r="I31" i="10"/>
  <c r="BC30" i="10"/>
  <c r="BB30" i="10"/>
  <c r="AZ30" i="10"/>
  <c r="AY30" i="10"/>
  <c r="AW30" i="10"/>
  <c r="AV30" i="10"/>
  <c r="AT30" i="10"/>
  <c r="AS30" i="10"/>
  <c r="AQ30" i="10"/>
  <c r="AP30" i="10"/>
  <c r="AN30" i="10"/>
  <c r="AM30" i="10"/>
  <c r="AK30" i="10"/>
  <c r="AJ30" i="10"/>
  <c r="AH30" i="10"/>
  <c r="AG30" i="10"/>
  <c r="AE30" i="10"/>
  <c r="AD30" i="10"/>
  <c r="AB30" i="10"/>
  <c r="AA30" i="10"/>
  <c r="Y30" i="10"/>
  <c r="X30" i="10"/>
  <c r="V30" i="10"/>
  <c r="U30" i="10"/>
  <c r="S30" i="10"/>
  <c r="P30" i="10"/>
  <c r="M30" i="10"/>
  <c r="J30" i="10"/>
  <c r="I30" i="10"/>
  <c r="BC29" i="10"/>
  <c r="BB29" i="10"/>
  <c r="AZ29" i="10"/>
  <c r="AY29" i="10"/>
  <c r="AW29" i="10"/>
  <c r="AV29" i="10"/>
  <c r="AT29" i="10"/>
  <c r="AS29" i="10"/>
  <c r="AQ29" i="10"/>
  <c r="AP29" i="10"/>
  <c r="AN29" i="10"/>
  <c r="AM29" i="10"/>
  <c r="AK29" i="10"/>
  <c r="AJ29" i="10"/>
  <c r="AH29" i="10"/>
  <c r="AG29" i="10"/>
  <c r="AE29" i="10"/>
  <c r="AD29" i="10"/>
  <c r="AB29" i="10"/>
  <c r="AA29" i="10"/>
  <c r="Y29" i="10"/>
  <c r="X29" i="10"/>
  <c r="V29" i="10"/>
  <c r="U29" i="10"/>
  <c r="S29" i="10"/>
  <c r="R29" i="10"/>
  <c r="P29" i="10"/>
  <c r="O29" i="10"/>
  <c r="M29" i="10"/>
  <c r="L29" i="10"/>
  <c r="J29" i="10"/>
  <c r="I29" i="10"/>
  <c r="BC28" i="10"/>
  <c r="BB28" i="10"/>
  <c r="AZ28" i="10"/>
  <c r="AY28" i="10"/>
  <c r="AW28" i="10"/>
  <c r="AV28" i="10"/>
  <c r="AT28" i="10"/>
  <c r="AS28" i="10"/>
  <c r="AQ28" i="10"/>
  <c r="AP28" i="10"/>
  <c r="AN28" i="10"/>
  <c r="AM28" i="10"/>
  <c r="AK28" i="10"/>
  <c r="AJ28" i="10"/>
  <c r="AH28" i="10"/>
  <c r="AG28" i="10"/>
  <c r="AE28" i="10"/>
  <c r="AD28" i="10"/>
  <c r="AB28" i="10"/>
  <c r="AA28" i="10"/>
  <c r="Y28" i="10"/>
  <c r="X28" i="10"/>
  <c r="V28" i="10"/>
  <c r="U28" i="10"/>
  <c r="S28" i="10"/>
  <c r="R28" i="10"/>
  <c r="P28" i="10"/>
  <c r="O28" i="10"/>
  <c r="M28" i="10"/>
  <c r="L28" i="10"/>
  <c r="J28" i="10"/>
  <c r="I28" i="10"/>
  <c r="BC27" i="10"/>
  <c r="BB27" i="10"/>
  <c r="AZ27" i="10"/>
  <c r="AY27" i="10"/>
  <c r="AW27" i="10"/>
  <c r="AV27" i="10"/>
  <c r="AT27" i="10"/>
  <c r="AS27" i="10"/>
  <c r="AQ27" i="10"/>
  <c r="AP27" i="10"/>
  <c r="AN27" i="10"/>
  <c r="AM27" i="10"/>
  <c r="AK27" i="10"/>
  <c r="AJ27" i="10"/>
  <c r="AH27" i="10"/>
  <c r="AG27" i="10"/>
  <c r="AE27" i="10"/>
  <c r="AD27" i="10"/>
  <c r="AB27" i="10"/>
  <c r="AA27" i="10"/>
  <c r="Y27" i="10"/>
  <c r="X27" i="10"/>
  <c r="V27" i="10"/>
  <c r="U27" i="10"/>
  <c r="S27" i="10"/>
  <c r="R27" i="10"/>
  <c r="P27" i="10"/>
  <c r="O27" i="10"/>
  <c r="M27" i="10"/>
  <c r="L27" i="10"/>
  <c r="J27" i="10"/>
  <c r="I27" i="10"/>
  <c r="BC26" i="10"/>
  <c r="BB26" i="10"/>
  <c r="AZ26" i="10"/>
  <c r="AY26" i="10"/>
  <c r="AW26" i="10"/>
  <c r="AV26" i="10"/>
  <c r="AT26" i="10"/>
  <c r="AS26" i="10"/>
  <c r="AQ26" i="10"/>
  <c r="AP26" i="10"/>
  <c r="AN26" i="10"/>
  <c r="AM26" i="10"/>
  <c r="AK26" i="10"/>
  <c r="AJ26" i="10"/>
  <c r="AH26" i="10"/>
  <c r="AG26" i="10"/>
  <c r="AE26" i="10"/>
  <c r="AD26" i="10"/>
  <c r="AB26" i="10"/>
  <c r="AA26" i="10"/>
  <c r="Y26" i="10"/>
  <c r="X26" i="10"/>
  <c r="V26" i="10"/>
  <c r="U26" i="10"/>
  <c r="S26" i="10"/>
  <c r="R26" i="10"/>
  <c r="P26" i="10"/>
  <c r="O26" i="10"/>
  <c r="M26" i="10"/>
  <c r="L26" i="10"/>
  <c r="J26" i="10"/>
  <c r="I26" i="10"/>
  <c r="BC25" i="10"/>
  <c r="BB25" i="10"/>
  <c r="AZ25" i="10"/>
  <c r="AY25" i="10"/>
  <c r="AW25" i="10"/>
  <c r="AV25" i="10"/>
  <c r="AT25" i="10"/>
  <c r="AS25" i="10"/>
  <c r="AQ25" i="10"/>
  <c r="AP25" i="10"/>
  <c r="AN25" i="10"/>
  <c r="AM25" i="10"/>
  <c r="AK25" i="10"/>
  <c r="AJ25" i="10"/>
  <c r="AH25" i="10"/>
  <c r="AG25" i="10"/>
  <c r="AE25" i="10"/>
  <c r="AD25" i="10"/>
  <c r="AB25" i="10"/>
  <c r="AA25" i="10"/>
  <c r="Y25" i="10"/>
  <c r="X25" i="10"/>
  <c r="V25" i="10"/>
  <c r="U25" i="10"/>
  <c r="S25" i="10"/>
  <c r="R25" i="10"/>
  <c r="P25" i="10"/>
  <c r="O25" i="10"/>
  <c r="M25" i="10"/>
  <c r="L25" i="10"/>
  <c r="J25" i="10"/>
  <c r="I25" i="10"/>
  <c r="BC24" i="10"/>
  <c r="BB24" i="10"/>
  <c r="AZ24" i="10"/>
  <c r="AY24" i="10"/>
  <c r="AW24" i="10"/>
  <c r="AV24" i="10"/>
  <c r="AT24" i="10"/>
  <c r="AS24" i="10"/>
  <c r="AQ24" i="10"/>
  <c r="AP24" i="10"/>
  <c r="AN24" i="10"/>
  <c r="AM24" i="10"/>
  <c r="AK24" i="10"/>
  <c r="AJ24" i="10"/>
  <c r="AH24" i="10"/>
  <c r="AG24" i="10"/>
  <c r="AE24" i="10"/>
  <c r="AD24" i="10"/>
  <c r="AB24" i="10"/>
  <c r="AA24" i="10"/>
  <c r="Y24" i="10"/>
  <c r="X24" i="10"/>
  <c r="V24" i="10"/>
  <c r="U24" i="10"/>
  <c r="S24" i="10"/>
  <c r="R24" i="10"/>
  <c r="P24" i="10"/>
  <c r="O24" i="10"/>
  <c r="M24" i="10"/>
  <c r="L24" i="10"/>
  <c r="J24" i="10"/>
  <c r="I24" i="10"/>
  <c r="BC23" i="10"/>
  <c r="BB23" i="10"/>
  <c r="AZ23" i="10"/>
  <c r="AY23" i="10"/>
  <c r="AW23" i="10"/>
  <c r="AV23" i="10"/>
  <c r="AT23" i="10"/>
  <c r="AS23" i="10"/>
  <c r="AQ23" i="10"/>
  <c r="AP23" i="10"/>
  <c r="AN23" i="10"/>
  <c r="AM23" i="10"/>
  <c r="AK23" i="10"/>
  <c r="AJ23" i="10"/>
  <c r="AH23" i="10"/>
  <c r="AG23" i="10"/>
  <c r="AE23" i="10"/>
  <c r="AD23" i="10"/>
  <c r="AB23" i="10"/>
  <c r="AA23" i="10"/>
  <c r="Y23" i="10"/>
  <c r="X23" i="10"/>
  <c r="V23" i="10"/>
  <c r="U23" i="10"/>
  <c r="S23" i="10"/>
  <c r="R23" i="10"/>
  <c r="P23" i="10"/>
  <c r="O23" i="10"/>
  <c r="M23" i="10"/>
  <c r="L23" i="10"/>
  <c r="J23" i="10"/>
  <c r="I23" i="10"/>
  <c r="BC22" i="10"/>
  <c r="BB22" i="10"/>
  <c r="AZ22" i="10"/>
  <c r="AY22" i="10"/>
  <c r="AW22" i="10"/>
  <c r="AV22" i="10"/>
  <c r="AT22" i="10"/>
  <c r="AS22" i="10"/>
  <c r="AQ22" i="10"/>
  <c r="AP22" i="10"/>
  <c r="AN22" i="10"/>
  <c r="AM22" i="10"/>
  <c r="AK22" i="10"/>
  <c r="AJ22" i="10"/>
  <c r="AH22" i="10"/>
  <c r="AG22" i="10"/>
  <c r="AE22" i="10"/>
  <c r="AD22" i="10"/>
  <c r="AB22" i="10"/>
  <c r="AA22" i="10"/>
  <c r="Y22" i="10"/>
  <c r="X22" i="10"/>
  <c r="V22" i="10"/>
  <c r="U22" i="10"/>
  <c r="S22" i="10"/>
  <c r="R22" i="10"/>
  <c r="P22" i="10"/>
  <c r="O22" i="10"/>
  <c r="M22" i="10"/>
  <c r="L22" i="10"/>
  <c r="J22" i="10"/>
  <c r="I22" i="10"/>
  <c r="BC21" i="10"/>
  <c r="BB21" i="10"/>
  <c r="AZ21" i="10"/>
  <c r="AY21" i="10"/>
  <c r="AW21" i="10"/>
  <c r="AV21" i="10"/>
  <c r="AT21" i="10"/>
  <c r="AS21" i="10"/>
  <c r="AQ21" i="10"/>
  <c r="AP21" i="10"/>
  <c r="AN21" i="10"/>
  <c r="AM21" i="10"/>
  <c r="AK21" i="10"/>
  <c r="AJ21" i="10"/>
  <c r="AH21" i="10"/>
  <c r="AG21" i="10"/>
  <c r="AE21" i="10"/>
  <c r="AD21" i="10"/>
  <c r="AB21" i="10"/>
  <c r="AA21" i="10"/>
  <c r="Y21" i="10"/>
  <c r="X21" i="10"/>
  <c r="V21" i="10"/>
  <c r="U21" i="10"/>
  <c r="S21" i="10"/>
  <c r="R21" i="10"/>
  <c r="P21" i="10"/>
  <c r="O21" i="10"/>
  <c r="M21" i="10"/>
  <c r="L21" i="10"/>
  <c r="J21" i="10"/>
  <c r="I21" i="10"/>
  <c r="BC20" i="10"/>
  <c r="BB20" i="10"/>
  <c r="AZ20" i="10"/>
  <c r="AY20" i="10"/>
  <c r="AW20" i="10"/>
  <c r="AV20" i="10"/>
  <c r="AT20" i="10"/>
  <c r="AS20" i="10"/>
  <c r="AQ20" i="10"/>
  <c r="AP20" i="10"/>
  <c r="AN20" i="10"/>
  <c r="AM20" i="10"/>
  <c r="AK20" i="10"/>
  <c r="AJ20" i="10"/>
  <c r="AH20" i="10"/>
  <c r="AG20" i="10"/>
  <c r="AE20" i="10"/>
  <c r="AD20" i="10"/>
  <c r="AB20" i="10"/>
  <c r="AA20" i="10"/>
  <c r="Y20" i="10"/>
  <c r="X20" i="10"/>
  <c r="V20" i="10"/>
  <c r="U20" i="10"/>
  <c r="S20" i="10"/>
  <c r="R20" i="10"/>
  <c r="P20" i="10"/>
  <c r="O20" i="10"/>
  <c r="M20" i="10"/>
  <c r="L20" i="10"/>
  <c r="J20" i="10"/>
  <c r="I20" i="10"/>
  <c r="BC19" i="10"/>
  <c r="BB19" i="10"/>
  <c r="AZ19" i="10"/>
  <c r="AY19" i="10"/>
  <c r="AW19" i="10"/>
  <c r="AV19" i="10"/>
  <c r="AT19" i="10"/>
  <c r="AS19" i="10"/>
  <c r="AQ19" i="10"/>
  <c r="AP19" i="10"/>
  <c r="AN19" i="10"/>
  <c r="AM19" i="10"/>
  <c r="AK19" i="10"/>
  <c r="AJ19" i="10"/>
  <c r="AH19" i="10"/>
  <c r="AG19" i="10"/>
  <c r="AE19" i="10"/>
  <c r="AD19" i="10"/>
  <c r="AB19" i="10"/>
  <c r="AA19" i="10"/>
  <c r="Y19" i="10"/>
  <c r="X19" i="10"/>
  <c r="V19" i="10"/>
  <c r="U19" i="10"/>
  <c r="S19" i="10"/>
  <c r="R19" i="10"/>
  <c r="P19" i="10"/>
  <c r="O19" i="10"/>
  <c r="M19" i="10"/>
  <c r="L19" i="10"/>
  <c r="J19" i="10"/>
  <c r="I19" i="10"/>
  <c r="BC18" i="10"/>
  <c r="BB18" i="10"/>
  <c r="AZ18" i="10"/>
  <c r="AY18" i="10"/>
  <c r="AW18" i="10"/>
  <c r="AV18" i="10"/>
  <c r="AT18" i="10"/>
  <c r="AS18" i="10"/>
  <c r="AQ18" i="10"/>
  <c r="AP18" i="10"/>
  <c r="AN18" i="10"/>
  <c r="AM18" i="10"/>
  <c r="AK18" i="10"/>
  <c r="AJ18" i="10"/>
  <c r="AH18" i="10"/>
  <c r="AG18" i="10"/>
  <c r="AE18" i="10"/>
  <c r="AD18" i="10"/>
  <c r="AB18" i="10"/>
  <c r="AA18" i="10"/>
  <c r="Y18" i="10"/>
  <c r="X18" i="10"/>
  <c r="V18" i="10"/>
  <c r="U18" i="10"/>
  <c r="S18" i="10"/>
  <c r="R18" i="10"/>
  <c r="P18" i="10"/>
  <c r="O18" i="10"/>
  <c r="M18" i="10"/>
  <c r="L18" i="10"/>
  <c r="J18" i="10"/>
  <c r="I18" i="10"/>
  <c r="BC17" i="10"/>
  <c r="BB17" i="10"/>
  <c r="AZ17" i="10"/>
  <c r="AY17" i="10"/>
  <c r="AW17" i="10"/>
  <c r="AV17" i="10"/>
  <c r="AT17" i="10"/>
  <c r="AQ17" i="10"/>
  <c r="AN17" i="10"/>
  <c r="AM17" i="10"/>
  <c r="AK17" i="10"/>
  <c r="AJ17" i="10"/>
  <c r="AH17" i="10"/>
  <c r="AG17" i="10"/>
  <c r="AE17" i="10"/>
  <c r="AD17" i="10"/>
  <c r="AB17" i="10"/>
  <c r="AA17" i="10"/>
  <c r="Y17" i="10"/>
  <c r="X17" i="10"/>
  <c r="V17" i="10"/>
  <c r="U17" i="10"/>
  <c r="S17" i="10"/>
  <c r="R17" i="10"/>
  <c r="P17" i="10"/>
  <c r="O17" i="10"/>
  <c r="M17" i="10"/>
  <c r="L17" i="10"/>
  <c r="J17" i="10"/>
  <c r="I17" i="10"/>
  <c r="BC16" i="10"/>
  <c r="BB16" i="10"/>
  <c r="AZ16" i="10"/>
  <c r="AY16" i="10"/>
  <c r="AW16" i="10"/>
  <c r="AV16" i="10"/>
  <c r="AT16" i="10"/>
  <c r="AS16" i="10"/>
  <c r="AQ16" i="10"/>
  <c r="AP16" i="10"/>
  <c r="AN16" i="10"/>
  <c r="AM16" i="10"/>
  <c r="AK16" i="10"/>
  <c r="AJ16" i="10"/>
  <c r="AH16" i="10"/>
  <c r="AG16" i="10"/>
  <c r="AE16" i="10"/>
  <c r="AD16" i="10"/>
  <c r="AB16" i="10"/>
  <c r="AA16" i="10"/>
  <c r="Y16" i="10"/>
  <c r="X16" i="10"/>
  <c r="V16" i="10"/>
  <c r="U16" i="10"/>
  <c r="S16" i="10"/>
  <c r="R16" i="10"/>
  <c r="P16" i="10"/>
  <c r="O16" i="10"/>
  <c r="M16" i="10"/>
  <c r="L16" i="10"/>
  <c r="J16" i="10"/>
  <c r="I16" i="10"/>
  <c r="BC15" i="10"/>
  <c r="BB15" i="10"/>
  <c r="AZ15" i="10"/>
  <c r="AY15" i="10"/>
  <c r="AW15" i="10"/>
  <c r="AV15" i="10"/>
  <c r="AT15" i="10"/>
  <c r="AS15" i="10"/>
  <c r="AQ15" i="10"/>
  <c r="AP15" i="10"/>
  <c r="AN15" i="10"/>
  <c r="AM15" i="10"/>
  <c r="AK15" i="10"/>
  <c r="AJ15" i="10"/>
  <c r="AH15" i="10"/>
  <c r="AG15" i="10"/>
  <c r="AE15" i="10"/>
  <c r="AD15" i="10"/>
  <c r="AB15" i="10"/>
  <c r="AA15" i="10"/>
  <c r="Y15" i="10"/>
  <c r="X15" i="10"/>
  <c r="V15" i="10"/>
  <c r="U15" i="10"/>
  <c r="S15" i="10"/>
  <c r="R15" i="10"/>
  <c r="P15" i="10"/>
  <c r="O15" i="10"/>
  <c r="M15" i="10"/>
  <c r="L15" i="10"/>
  <c r="J15" i="10"/>
  <c r="I15" i="10"/>
  <c r="BC14" i="10"/>
  <c r="AZ14" i="10"/>
  <c r="AW14" i="10"/>
  <c r="AT14" i="10"/>
  <c r="AQ14" i="10"/>
  <c r="AN14" i="10"/>
  <c r="AK14" i="10"/>
  <c r="AH14" i="10"/>
  <c r="AE14" i="10"/>
  <c r="AB14" i="10"/>
  <c r="Y14" i="10"/>
  <c r="V14" i="10"/>
  <c r="S14" i="10"/>
  <c r="R14" i="10"/>
  <c r="P14" i="10"/>
  <c r="O14" i="10"/>
  <c r="M14" i="10"/>
  <c r="J14" i="10"/>
  <c r="BC10" i="10"/>
  <c r="BB10" i="10"/>
  <c r="AZ10" i="10"/>
  <c r="AY10" i="10"/>
  <c r="AW10" i="10"/>
  <c r="AV10" i="10"/>
  <c r="AT10" i="10"/>
  <c r="AS10" i="10"/>
  <c r="AQ10" i="10"/>
  <c r="AP10" i="10"/>
  <c r="AN10" i="10"/>
  <c r="AM10" i="10"/>
  <c r="AK10" i="10"/>
  <c r="AJ10" i="10"/>
  <c r="AH10" i="10"/>
  <c r="AG10" i="10"/>
  <c r="AE10" i="10"/>
  <c r="AD10" i="10"/>
  <c r="AB10" i="10"/>
  <c r="AA10" i="10"/>
  <c r="Y10" i="10"/>
  <c r="X10" i="10"/>
  <c r="V10" i="10"/>
  <c r="U10" i="10"/>
  <c r="S10" i="10"/>
  <c r="R10" i="10"/>
  <c r="P10" i="10"/>
  <c r="O10" i="10"/>
  <c r="M10" i="10"/>
  <c r="L10" i="10"/>
  <c r="J10" i="10"/>
  <c r="I10" i="10"/>
  <c r="BC13" i="10"/>
  <c r="BB13" i="10"/>
  <c r="AZ13" i="10"/>
  <c r="AY13" i="10"/>
  <c r="AW13" i="10"/>
  <c r="AV13" i="10"/>
  <c r="AT13" i="10"/>
  <c r="AS13" i="10"/>
  <c r="AQ13" i="10"/>
  <c r="AP13" i="10"/>
  <c r="AN13" i="10"/>
  <c r="AM13" i="10"/>
  <c r="AK13" i="10"/>
  <c r="AJ13" i="10"/>
  <c r="AH13" i="10"/>
  <c r="AG13" i="10"/>
  <c r="AE13" i="10"/>
  <c r="AD13" i="10"/>
  <c r="AB13" i="10"/>
  <c r="AA13" i="10"/>
  <c r="Y13" i="10"/>
  <c r="X13" i="10"/>
  <c r="V13" i="10"/>
  <c r="U13" i="10"/>
  <c r="S13" i="10"/>
  <c r="R13" i="10"/>
  <c r="P13" i="10"/>
  <c r="O13" i="10"/>
  <c r="M13" i="10"/>
  <c r="L13" i="10"/>
  <c r="J13" i="10"/>
  <c r="I13" i="10"/>
  <c r="BC12" i="10"/>
  <c r="BB12" i="10"/>
  <c r="AZ12" i="10"/>
  <c r="AY12" i="10"/>
  <c r="AW12" i="10"/>
  <c r="AV12" i="10"/>
  <c r="AT12" i="10"/>
  <c r="AS12" i="10"/>
  <c r="AQ12" i="10"/>
  <c r="AP12" i="10"/>
  <c r="AN12" i="10"/>
  <c r="AM12" i="10"/>
  <c r="AK12" i="10"/>
  <c r="AJ12" i="10"/>
  <c r="AH12" i="10"/>
  <c r="AG12" i="10"/>
  <c r="AE12" i="10"/>
  <c r="AD12" i="10"/>
  <c r="AB12" i="10"/>
  <c r="AA12" i="10"/>
  <c r="Y12" i="10"/>
  <c r="X12" i="10"/>
  <c r="V12" i="10"/>
  <c r="U12" i="10"/>
  <c r="S12" i="10"/>
  <c r="R12" i="10"/>
  <c r="P12" i="10"/>
  <c r="O12" i="10"/>
  <c r="M12" i="10"/>
  <c r="L12" i="10"/>
  <c r="J12" i="10"/>
  <c r="I12" i="10"/>
  <c r="BC8" i="10"/>
  <c r="BB8" i="10"/>
  <c r="AZ8" i="10"/>
  <c r="AY8" i="10"/>
  <c r="AW8" i="10"/>
  <c r="AV8" i="10"/>
  <c r="AT8" i="10"/>
  <c r="AS8" i="10"/>
  <c r="AQ8" i="10"/>
  <c r="AP8" i="10"/>
  <c r="AN8" i="10"/>
  <c r="AM8" i="10"/>
  <c r="AK8" i="10"/>
  <c r="AJ8" i="10"/>
  <c r="AH8" i="10"/>
  <c r="AG8" i="10"/>
  <c r="AE8" i="10"/>
  <c r="AD8" i="10"/>
  <c r="AB8" i="10"/>
  <c r="AA8" i="10"/>
  <c r="Y8" i="10"/>
  <c r="X8" i="10"/>
  <c r="V8" i="10"/>
  <c r="U8" i="10"/>
  <c r="S8" i="10"/>
  <c r="R8" i="10"/>
  <c r="P8" i="10"/>
  <c r="O8" i="10"/>
  <c r="M8" i="10"/>
  <c r="L8" i="10"/>
  <c r="J8" i="10"/>
  <c r="I8" i="10"/>
  <c r="BC7" i="10"/>
  <c r="BB7" i="10"/>
  <c r="AZ7" i="10"/>
  <c r="AY7" i="10"/>
  <c r="AW7" i="10"/>
  <c r="AV7" i="10"/>
  <c r="AT7" i="10"/>
  <c r="AS7" i="10"/>
  <c r="AQ7" i="10"/>
  <c r="AP7" i="10"/>
  <c r="AN7" i="10"/>
  <c r="AM7" i="10"/>
  <c r="AK7" i="10"/>
  <c r="AJ7" i="10"/>
  <c r="AH7" i="10"/>
  <c r="AG7" i="10"/>
  <c r="AE7" i="10"/>
  <c r="AD7" i="10"/>
  <c r="AB7" i="10"/>
  <c r="AA7" i="10"/>
  <c r="Y7" i="10"/>
  <c r="X7" i="10"/>
  <c r="V7" i="10"/>
  <c r="U7" i="10"/>
  <c r="S7" i="10"/>
  <c r="R7" i="10"/>
  <c r="P7" i="10"/>
  <c r="O7" i="10"/>
  <c r="M7" i="10"/>
  <c r="L7" i="10"/>
  <c r="J7" i="10"/>
  <c r="I7" i="10"/>
  <c r="BC6" i="10"/>
  <c r="BB6" i="10"/>
  <c r="AZ6" i="10"/>
  <c r="AY6" i="10"/>
  <c r="AW6" i="10"/>
  <c r="AV6" i="10"/>
  <c r="AT6" i="10"/>
  <c r="AS6" i="10"/>
  <c r="AQ6" i="10"/>
  <c r="AP6" i="10"/>
  <c r="AN6" i="10"/>
  <c r="AM6" i="10"/>
  <c r="AK6" i="10"/>
  <c r="AJ6" i="10"/>
  <c r="AH6" i="10"/>
  <c r="AG6" i="10"/>
  <c r="AE6" i="10"/>
  <c r="AD6" i="10"/>
  <c r="AB6" i="10"/>
  <c r="AA6" i="10"/>
  <c r="Y6" i="10"/>
  <c r="X6" i="10"/>
  <c r="V6" i="10"/>
  <c r="U6" i="10"/>
  <c r="S6" i="10"/>
  <c r="R6" i="10"/>
  <c r="P6" i="10"/>
  <c r="O6" i="10"/>
  <c r="M6" i="10"/>
  <c r="L6" i="10"/>
  <c r="J6" i="10"/>
  <c r="I6" i="10"/>
  <c r="BC5" i="10"/>
  <c r="BB5" i="10"/>
  <c r="AZ5" i="10"/>
  <c r="AY5" i="10"/>
  <c r="AW5" i="10"/>
  <c r="AV5" i="10"/>
  <c r="AT5" i="10"/>
  <c r="AS5" i="10"/>
  <c r="AQ5" i="10"/>
  <c r="AP5" i="10"/>
  <c r="AN5" i="10"/>
  <c r="AM5" i="10"/>
  <c r="AK5" i="10"/>
  <c r="AJ5" i="10"/>
  <c r="AH5" i="10"/>
  <c r="AG5" i="10"/>
  <c r="AE5" i="10"/>
  <c r="AD5" i="10"/>
  <c r="AB5" i="10"/>
  <c r="AA5" i="10"/>
  <c r="Y5" i="10"/>
  <c r="X5" i="10"/>
  <c r="V5" i="10"/>
  <c r="U5" i="10"/>
  <c r="S5" i="10"/>
  <c r="R5" i="10"/>
  <c r="P5" i="10"/>
  <c r="O5" i="10"/>
  <c r="M5" i="10"/>
  <c r="L5" i="10"/>
  <c r="J5" i="10"/>
  <c r="I5" i="10"/>
  <c r="BC4" i="10"/>
  <c r="BB4" i="10"/>
  <c r="AZ4" i="10"/>
  <c r="AY4" i="10"/>
  <c r="AW4" i="10"/>
  <c r="AV4" i="10"/>
  <c r="AT4" i="10"/>
  <c r="AS4" i="10"/>
  <c r="AQ4" i="10"/>
  <c r="AP4" i="10"/>
  <c r="AN4" i="10"/>
  <c r="AM4" i="10"/>
  <c r="AK4" i="10"/>
  <c r="AJ4" i="10"/>
  <c r="AH4" i="10"/>
  <c r="AG4" i="10"/>
  <c r="AE4" i="10"/>
  <c r="AD4" i="10"/>
  <c r="AB4" i="10"/>
  <c r="AA4" i="10"/>
  <c r="Y4" i="10"/>
  <c r="X4" i="10"/>
  <c r="V4" i="10"/>
  <c r="U4" i="10"/>
  <c r="S4" i="10"/>
  <c r="R4" i="10"/>
  <c r="P4" i="10"/>
  <c r="O4" i="10"/>
  <c r="M4" i="10"/>
  <c r="L4" i="10"/>
  <c r="J4" i="10"/>
  <c r="I4" i="10"/>
  <c r="BC3" i="10"/>
  <c r="BB3" i="10"/>
  <c r="AZ3" i="10"/>
  <c r="AU3" i="10"/>
  <c r="AT3" i="10"/>
  <c r="AS3" i="10"/>
  <c r="AQ3" i="10"/>
  <c r="AP3" i="10"/>
  <c r="AN3" i="10"/>
  <c r="AM3" i="10"/>
  <c r="AK3" i="10"/>
  <c r="AJ3" i="10"/>
  <c r="AH3" i="10"/>
  <c r="AG3" i="10"/>
  <c r="AE3" i="10"/>
  <c r="AD3" i="10"/>
  <c r="AB3" i="10"/>
  <c r="AA3" i="10"/>
  <c r="Y3" i="10"/>
  <c r="X3" i="10"/>
  <c r="V3" i="10"/>
  <c r="U3" i="10"/>
  <c r="S3" i="10"/>
  <c r="R3" i="10"/>
  <c r="P3" i="10"/>
  <c r="O3" i="10"/>
  <c r="M3" i="10"/>
  <c r="L3" i="10"/>
  <c r="J3" i="10"/>
  <c r="I3" i="10"/>
  <c r="AU50" i="4"/>
  <c r="AU49" i="4"/>
  <c r="AT49" i="4"/>
  <c r="AU48" i="4"/>
  <c r="AT48" i="4"/>
  <c r="AU47" i="4"/>
  <c r="AU86" i="4" s="1"/>
  <c r="AT47" i="4"/>
  <c r="AT86" i="4" s="1"/>
  <c r="AU46" i="4"/>
  <c r="AT46" i="4"/>
  <c r="AU45" i="4"/>
  <c r="AT45" i="4"/>
  <c r="AU42" i="4"/>
  <c r="AT42" i="4"/>
  <c r="AU41" i="4"/>
  <c r="AT41" i="4"/>
  <c r="AU40" i="4"/>
  <c r="AT40" i="4"/>
  <c r="AU39" i="4"/>
  <c r="AT39" i="4"/>
  <c r="AU38" i="4"/>
  <c r="AT38" i="4"/>
  <c r="AU35" i="4"/>
  <c r="AT35" i="4"/>
  <c r="AU34" i="4"/>
  <c r="AT34" i="4"/>
  <c r="AU32" i="4"/>
  <c r="AT32" i="4"/>
  <c r="AU30" i="4"/>
  <c r="AT30" i="4"/>
  <c r="AU29" i="4"/>
  <c r="AT29" i="4"/>
  <c r="AU24" i="4"/>
  <c r="AT24" i="4"/>
  <c r="AU23" i="4"/>
  <c r="AT23" i="4"/>
  <c r="AU22" i="4"/>
  <c r="AT22" i="4"/>
  <c r="AU21" i="4"/>
  <c r="AT21" i="4"/>
  <c r="AU20" i="4"/>
  <c r="AT20" i="4"/>
  <c r="AU19" i="4"/>
  <c r="AT19" i="4"/>
  <c r="AU15" i="4"/>
  <c r="AT15" i="4"/>
  <c r="AU13" i="4"/>
  <c r="AT13" i="4"/>
  <c r="AU12" i="4"/>
  <c r="AT12" i="4"/>
  <c r="AU11" i="4"/>
  <c r="AT11" i="4"/>
  <c r="AU10" i="4"/>
  <c r="AT10" i="4"/>
  <c r="AU8" i="4"/>
  <c r="AT8" i="4"/>
  <c r="AU7" i="4"/>
  <c r="AT7" i="4"/>
  <c r="AU6" i="4"/>
  <c r="AT6" i="4"/>
  <c r="AU5" i="4"/>
  <c r="AT5" i="4"/>
  <c r="AX50" i="4"/>
  <c r="AX49" i="4"/>
  <c r="AW49" i="4"/>
  <c r="AX48" i="4"/>
  <c r="AW48" i="4"/>
  <c r="AX47" i="4"/>
  <c r="AX86" i="4" s="1"/>
  <c r="AW47" i="4"/>
  <c r="AW86" i="4" s="1"/>
  <c r="AX46" i="4"/>
  <c r="AW46" i="4"/>
  <c r="AX45" i="4"/>
  <c r="AW45" i="4"/>
  <c r="AX42" i="4"/>
  <c r="AW42" i="4"/>
  <c r="AX41" i="4"/>
  <c r="AW41" i="4"/>
  <c r="AX40" i="4"/>
  <c r="AW40" i="4"/>
  <c r="AX39" i="4"/>
  <c r="AW39" i="4"/>
  <c r="AX38" i="4"/>
  <c r="AW38" i="4"/>
  <c r="AX35" i="4"/>
  <c r="AW35" i="4"/>
  <c r="AX34" i="4"/>
  <c r="AW34" i="4"/>
  <c r="AX32" i="4"/>
  <c r="AW32" i="4"/>
  <c r="AX30" i="4"/>
  <c r="AW30" i="4"/>
  <c r="AX29" i="4"/>
  <c r="AW29" i="4"/>
  <c r="AX24" i="4"/>
  <c r="AW24" i="4"/>
  <c r="AX23" i="4"/>
  <c r="AW23" i="4"/>
  <c r="AX22" i="4"/>
  <c r="AW22" i="4"/>
  <c r="AX21" i="4"/>
  <c r="AW21" i="4"/>
  <c r="AX20" i="4"/>
  <c r="AW20" i="4"/>
  <c r="AX19" i="4"/>
  <c r="AW19" i="4"/>
  <c r="AX15" i="4"/>
  <c r="AW15" i="4"/>
  <c r="AX13" i="4"/>
  <c r="AW13" i="4"/>
  <c r="AX12" i="4"/>
  <c r="AW12" i="4"/>
  <c r="AX11" i="4"/>
  <c r="AW11" i="4"/>
  <c r="AX10" i="4"/>
  <c r="AW10" i="4"/>
  <c r="AX8" i="4"/>
  <c r="AW8" i="4"/>
  <c r="AX7" i="4"/>
  <c r="AW7" i="4"/>
  <c r="AX6" i="4"/>
  <c r="AW6" i="4"/>
  <c r="AX5" i="4"/>
  <c r="AW5" i="4"/>
  <c r="BA50" i="4"/>
  <c r="BA49" i="4"/>
  <c r="AZ49" i="4"/>
  <c r="BA48" i="4"/>
  <c r="AZ48" i="4"/>
  <c r="BA47" i="4"/>
  <c r="BA86" i="4" s="1"/>
  <c r="AZ47" i="4"/>
  <c r="AZ86" i="4" s="1"/>
  <c r="BA46" i="4"/>
  <c r="AZ46" i="4"/>
  <c r="BA45" i="4"/>
  <c r="AZ45" i="4"/>
  <c r="BA42" i="4"/>
  <c r="AZ42" i="4"/>
  <c r="BA41" i="4"/>
  <c r="AZ41" i="4"/>
  <c r="BA40" i="4"/>
  <c r="AZ40" i="4"/>
  <c r="BA39" i="4"/>
  <c r="AZ39" i="4"/>
  <c r="BA38" i="4"/>
  <c r="AZ38" i="4"/>
  <c r="BA35" i="4"/>
  <c r="AZ35" i="4"/>
  <c r="BA34" i="4"/>
  <c r="AZ34" i="4"/>
  <c r="BA32" i="4"/>
  <c r="AZ32" i="4"/>
  <c r="BA30" i="4"/>
  <c r="AZ30" i="4"/>
  <c r="BA29" i="4"/>
  <c r="AZ29" i="4"/>
  <c r="BA24" i="4"/>
  <c r="AZ24" i="4"/>
  <c r="BA23" i="4"/>
  <c r="AZ23" i="4"/>
  <c r="BA22" i="4"/>
  <c r="AZ22" i="4"/>
  <c r="BA21" i="4"/>
  <c r="AZ21" i="4"/>
  <c r="BA20" i="4"/>
  <c r="AZ20" i="4"/>
  <c r="BA19" i="4"/>
  <c r="AZ19" i="4"/>
  <c r="BA15" i="4"/>
  <c r="AZ15" i="4"/>
  <c r="BA13" i="4"/>
  <c r="AZ13" i="4"/>
  <c r="BA12" i="4"/>
  <c r="AZ12" i="4"/>
  <c r="BA11" i="4"/>
  <c r="AZ11" i="4"/>
  <c r="BA10" i="4"/>
  <c r="AZ10" i="4"/>
  <c r="BA8" i="4"/>
  <c r="AZ8" i="4"/>
  <c r="BA7" i="4"/>
  <c r="AZ7" i="4"/>
  <c r="BA6" i="4"/>
  <c r="AZ6" i="4"/>
  <c r="BA5" i="4"/>
  <c r="AZ5" i="4"/>
  <c r="BD50" i="4"/>
  <c r="BD49" i="4"/>
  <c r="BC49" i="4"/>
  <c r="BD48" i="4"/>
  <c r="BC48" i="4"/>
  <c r="BD47" i="4"/>
  <c r="BD86" i="4" s="1"/>
  <c r="BC47" i="4"/>
  <c r="BC86" i="4" s="1"/>
  <c r="BD46" i="4"/>
  <c r="BC46" i="4"/>
  <c r="BD45" i="4"/>
  <c r="BC45" i="4"/>
  <c r="BD42" i="4"/>
  <c r="BC42" i="4"/>
  <c r="BD41" i="4"/>
  <c r="BC41" i="4"/>
  <c r="BD40" i="4"/>
  <c r="BC40" i="4"/>
  <c r="BD39" i="4"/>
  <c r="BC39" i="4"/>
  <c r="BD38" i="4"/>
  <c r="BC38" i="4"/>
  <c r="BD35" i="4"/>
  <c r="BC35" i="4"/>
  <c r="BD34" i="4"/>
  <c r="BC34" i="4"/>
  <c r="BD32" i="4"/>
  <c r="BC32" i="4"/>
  <c r="BD30" i="4"/>
  <c r="BC30" i="4"/>
  <c r="BD29" i="4"/>
  <c r="BC29" i="4"/>
  <c r="BD24" i="4"/>
  <c r="BC24" i="4"/>
  <c r="BD23" i="4"/>
  <c r="BC23" i="4"/>
  <c r="BD22" i="4"/>
  <c r="BC22" i="4"/>
  <c r="BD21" i="4"/>
  <c r="BC21" i="4"/>
  <c r="BD20" i="4"/>
  <c r="BC20" i="4"/>
  <c r="BD19" i="4"/>
  <c r="BC19" i="4"/>
  <c r="BD15" i="4"/>
  <c r="BC15" i="4"/>
  <c r="BD13" i="4"/>
  <c r="BC13" i="4"/>
  <c r="BD12" i="4"/>
  <c r="BC12" i="4"/>
  <c r="BD11" i="4"/>
  <c r="BC11" i="4"/>
  <c r="BD10" i="4"/>
  <c r="BC10" i="4"/>
  <c r="BD8" i="4"/>
  <c r="BC8" i="4"/>
  <c r="BD7" i="4"/>
  <c r="BC7" i="4"/>
  <c r="BD6" i="4"/>
  <c r="BC6" i="4"/>
  <c r="BD5" i="4"/>
  <c r="BC5" i="4"/>
  <c r="AP76" i="4"/>
  <c r="AP71" i="4"/>
  <c r="AP68" i="4"/>
  <c r="AP64" i="4"/>
  <c r="AP61" i="4"/>
  <c r="AP55" i="4"/>
  <c r="AR50" i="4"/>
  <c r="AO50" i="4"/>
  <c r="AL50" i="4"/>
  <c r="AI50" i="4"/>
  <c r="AF50" i="4"/>
  <c r="AC50" i="4"/>
  <c r="Z50" i="4"/>
  <c r="W50" i="4"/>
  <c r="T50" i="4"/>
  <c r="S50" i="4"/>
  <c r="Q50" i="4"/>
  <c r="P50" i="4"/>
  <c r="N50" i="4"/>
  <c r="M50" i="4"/>
  <c r="K50" i="4"/>
  <c r="J50" i="4"/>
  <c r="AR49" i="4"/>
  <c r="AQ49" i="4"/>
  <c r="AO49" i="4"/>
  <c r="AN49" i="4"/>
  <c r="AL49" i="4"/>
  <c r="AK49" i="4"/>
  <c r="AI49" i="4"/>
  <c r="AH49" i="4"/>
  <c r="AF49" i="4"/>
  <c r="AE49" i="4"/>
  <c r="AC49" i="4"/>
  <c r="AB49" i="4"/>
  <c r="Z49" i="4"/>
  <c r="Y49" i="4"/>
  <c r="W49" i="4"/>
  <c r="V49" i="4"/>
  <c r="T49" i="4"/>
  <c r="S49" i="4"/>
  <c r="Q49" i="4"/>
  <c r="P49" i="4"/>
  <c r="N49" i="4"/>
  <c r="M49" i="4"/>
  <c r="K49" i="4"/>
  <c r="J49" i="4"/>
  <c r="AR48" i="4"/>
  <c r="AQ48" i="4"/>
  <c r="AO48" i="4"/>
  <c r="AN48" i="4"/>
  <c r="AL48" i="4"/>
  <c r="AK48" i="4"/>
  <c r="AI48" i="4"/>
  <c r="AH48" i="4"/>
  <c r="AF48" i="4"/>
  <c r="AE48" i="4"/>
  <c r="AC48" i="4"/>
  <c r="AB48" i="4"/>
  <c r="Z48" i="4"/>
  <c r="Y48" i="4"/>
  <c r="W48" i="4"/>
  <c r="V48" i="4"/>
  <c r="T48" i="4"/>
  <c r="S48" i="4"/>
  <c r="Q48" i="4"/>
  <c r="P48" i="4"/>
  <c r="N48" i="4"/>
  <c r="M48" i="4"/>
  <c r="K48" i="4"/>
  <c r="J48" i="4"/>
  <c r="AR47" i="4"/>
  <c r="AR86" i="4" s="1"/>
  <c r="AQ47" i="4"/>
  <c r="AQ86" i="4" s="1"/>
  <c r="AO47" i="4"/>
  <c r="AO86" i="4" s="1"/>
  <c r="AN47" i="4"/>
  <c r="AN86" i="4" s="1"/>
  <c r="AL47" i="4"/>
  <c r="AL86" i="4" s="1"/>
  <c r="AK47" i="4"/>
  <c r="AK86" i="4" s="1"/>
  <c r="AI47" i="4"/>
  <c r="AI86" i="4" s="1"/>
  <c r="AH47" i="4"/>
  <c r="AH86" i="4" s="1"/>
  <c r="AF47" i="4"/>
  <c r="AF86" i="4" s="1"/>
  <c r="AE47" i="4"/>
  <c r="AE86" i="4" s="1"/>
  <c r="AC47" i="4"/>
  <c r="AC86" i="4" s="1"/>
  <c r="AB47" i="4"/>
  <c r="AB86" i="4" s="1"/>
  <c r="Z47" i="4"/>
  <c r="Z86" i="4" s="1"/>
  <c r="Y47" i="4"/>
  <c r="Y86" i="4" s="1"/>
  <c r="W47" i="4"/>
  <c r="W86" i="4" s="1"/>
  <c r="V47" i="4"/>
  <c r="V86" i="4" s="1"/>
  <c r="T47" i="4"/>
  <c r="T86" i="4" s="1"/>
  <c r="S47" i="4"/>
  <c r="S86" i="4" s="1"/>
  <c r="Q47" i="4"/>
  <c r="Q86" i="4" s="1"/>
  <c r="P47" i="4"/>
  <c r="P86" i="4" s="1"/>
  <c r="N47" i="4"/>
  <c r="N86" i="4" s="1"/>
  <c r="M47" i="4"/>
  <c r="M86" i="4" s="1"/>
  <c r="K47" i="4"/>
  <c r="K86" i="4" s="1"/>
  <c r="J47" i="4"/>
  <c r="J86" i="4" s="1"/>
  <c r="AR46" i="4"/>
  <c r="AQ46" i="4"/>
  <c r="AO46" i="4"/>
  <c r="AN46" i="4"/>
  <c r="AL46" i="4"/>
  <c r="AK46" i="4"/>
  <c r="AI46" i="4"/>
  <c r="AH46" i="4"/>
  <c r="AF46" i="4"/>
  <c r="AE46" i="4"/>
  <c r="AC46" i="4"/>
  <c r="AB46" i="4"/>
  <c r="Z46" i="4"/>
  <c r="Y46" i="4"/>
  <c r="W46" i="4"/>
  <c r="V46" i="4"/>
  <c r="T46" i="4"/>
  <c r="S46" i="4"/>
  <c r="Q46" i="4"/>
  <c r="P46" i="4"/>
  <c r="N46" i="4"/>
  <c r="M46" i="4"/>
  <c r="K46" i="4"/>
  <c r="J46" i="4"/>
  <c r="AR45" i="4"/>
  <c r="AQ45" i="4"/>
  <c r="AO45" i="4"/>
  <c r="AN45" i="4"/>
  <c r="AL45" i="4"/>
  <c r="AK45" i="4"/>
  <c r="AI45" i="4"/>
  <c r="AH45" i="4"/>
  <c r="AF45" i="4"/>
  <c r="AE45" i="4"/>
  <c r="AC45" i="4"/>
  <c r="AB45" i="4"/>
  <c r="Z45" i="4"/>
  <c r="Y45" i="4"/>
  <c r="W45" i="4"/>
  <c r="V45" i="4"/>
  <c r="T45" i="4"/>
  <c r="S45" i="4"/>
  <c r="Q45" i="4"/>
  <c r="P45" i="4"/>
  <c r="N45" i="4"/>
  <c r="M45" i="4"/>
  <c r="K45" i="4"/>
  <c r="J45" i="4"/>
  <c r="AP44" i="4"/>
  <c r="AM44" i="4"/>
  <c r="AM43" i="4" s="1"/>
  <c r="AJ44" i="4"/>
  <c r="AJ43" i="4" s="1"/>
  <c r="AG44" i="4"/>
  <c r="AD44" i="4"/>
  <c r="AD43" i="4" s="1"/>
  <c r="AA44" i="4"/>
  <c r="AA43" i="4" s="1"/>
  <c r="X44" i="4"/>
  <c r="X43" i="4" s="1"/>
  <c r="U44" i="4"/>
  <c r="O44" i="4"/>
  <c r="O43" i="4" s="1"/>
  <c r="L44" i="4"/>
  <c r="I44" i="4"/>
  <c r="AR42" i="4"/>
  <c r="AQ42" i="4"/>
  <c r="AO42" i="4"/>
  <c r="AN42" i="4"/>
  <c r="AL42" i="4"/>
  <c r="AK42" i="4"/>
  <c r="AI42" i="4"/>
  <c r="AH42" i="4"/>
  <c r="AF42" i="4"/>
  <c r="AE42" i="4"/>
  <c r="AC42" i="4"/>
  <c r="AB42" i="4"/>
  <c r="Z42" i="4"/>
  <c r="Y42" i="4"/>
  <c r="W42" i="4"/>
  <c r="V42" i="4"/>
  <c r="T42" i="4"/>
  <c r="S42" i="4"/>
  <c r="Q42" i="4"/>
  <c r="P42" i="4"/>
  <c r="N42" i="4"/>
  <c r="M42" i="4"/>
  <c r="K42" i="4"/>
  <c r="J42" i="4"/>
  <c r="AR41" i="4"/>
  <c r="AQ41" i="4"/>
  <c r="AO41" i="4"/>
  <c r="AN41" i="4"/>
  <c r="AL41" i="4"/>
  <c r="AK41" i="4"/>
  <c r="AI41" i="4"/>
  <c r="AH41" i="4"/>
  <c r="AF41" i="4"/>
  <c r="AE41" i="4"/>
  <c r="AC41" i="4"/>
  <c r="AB41" i="4"/>
  <c r="Z41" i="4"/>
  <c r="Y41" i="4"/>
  <c r="W41" i="4"/>
  <c r="V41" i="4"/>
  <c r="T41" i="4"/>
  <c r="S41" i="4"/>
  <c r="Q41" i="4"/>
  <c r="P41" i="4"/>
  <c r="N41" i="4"/>
  <c r="M41" i="4"/>
  <c r="K41" i="4"/>
  <c r="J41" i="4"/>
  <c r="AR40" i="4"/>
  <c r="AQ40" i="4"/>
  <c r="AO40" i="4"/>
  <c r="AN40" i="4"/>
  <c r="AL40" i="4"/>
  <c r="AK40" i="4"/>
  <c r="AI40" i="4"/>
  <c r="AH40" i="4"/>
  <c r="AF40" i="4"/>
  <c r="AE40" i="4"/>
  <c r="AC40" i="4"/>
  <c r="AB40" i="4"/>
  <c r="Z40" i="4"/>
  <c r="Y40" i="4"/>
  <c r="W40" i="4"/>
  <c r="V40" i="4"/>
  <c r="T40" i="4"/>
  <c r="S40" i="4"/>
  <c r="Q40" i="4"/>
  <c r="P40" i="4"/>
  <c r="N40" i="4"/>
  <c r="M40" i="4"/>
  <c r="K40" i="4"/>
  <c r="J40" i="4"/>
  <c r="AR39" i="4"/>
  <c r="AQ39" i="4"/>
  <c r="AO39" i="4"/>
  <c r="AN39" i="4"/>
  <c r="AL39" i="4"/>
  <c r="AK39" i="4"/>
  <c r="AI39" i="4"/>
  <c r="AH39" i="4"/>
  <c r="AF39" i="4"/>
  <c r="AE39" i="4"/>
  <c r="AC39" i="4"/>
  <c r="AB39" i="4"/>
  <c r="Z39" i="4"/>
  <c r="Y39" i="4"/>
  <c r="W39" i="4"/>
  <c r="V39" i="4"/>
  <c r="T39" i="4"/>
  <c r="S39" i="4"/>
  <c r="Q39" i="4"/>
  <c r="P39" i="4"/>
  <c r="N39" i="4"/>
  <c r="M39" i="4"/>
  <c r="K39" i="4"/>
  <c r="J39" i="4"/>
  <c r="AR38" i="4"/>
  <c r="AQ38" i="4"/>
  <c r="AO38" i="4"/>
  <c r="AN38" i="4"/>
  <c r="AL38" i="4"/>
  <c r="AK38" i="4"/>
  <c r="AI38" i="4"/>
  <c r="AH38" i="4"/>
  <c r="AF38" i="4"/>
  <c r="AE38" i="4"/>
  <c r="AC38" i="4"/>
  <c r="AB38" i="4"/>
  <c r="Z38" i="4"/>
  <c r="Y38" i="4"/>
  <c r="W38" i="4"/>
  <c r="V38" i="4"/>
  <c r="T38" i="4"/>
  <c r="S38" i="4"/>
  <c r="Q38" i="4"/>
  <c r="P38" i="4"/>
  <c r="N38" i="4"/>
  <c r="M38" i="4"/>
  <c r="K38" i="4"/>
  <c r="J38" i="4"/>
  <c r="AP37" i="4"/>
  <c r="AM37" i="4"/>
  <c r="AJ37" i="4"/>
  <c r="AG37" i="4"/>
  <c r="AD37" i="4"/>
  <c r="AA37" i="4"/>
  <c r="X37" i="4"/>
  <c r="U37" i="4"/>
  <c r="O37" i="4"/>
  <c r="L37" i="4"/>
  <c r="I37" i="4"/>
  <c r="AR35" i="4"/>
  <c r="AQ35" i="4"/>
  <c r="AO35" i="4"/>
  <c r="AN35" i="4"/>
  <c r="AL35" i="4"/>
  <c r="AK35" i="4"/>
  <c r="AI35" i="4"/>
  <c r="AH35" i="4"/>
  <c r="AF35" i="4"/>
  <c r="AE35" i="4"/>
  <c r="AC35" i="4"/>
  <c r="AB35" i="4"/>
  <c r="Z35" i="4"/>
  <c r="Y35" i="4"/>
  <c r="W35" i="4"/>
  <c r="V35" i="4"/>
  <c r="T35" i="4"/>
  <c r="S35" i="4"/>
  <c r="Q35" i="4"/>
  <c r="P35" i="4"/>
  <c r="N35" i="4"/>
  <c r="M35" i="4"/>
  <c r="K35" i="4"/>
  <c r="J35" i="4"/>
  <c r="AR34" i="4"/>
  <c r="AQ34" i="4"/>
  <c r="AO34" i="4"/>
  <c r="AN34" i="4"/>
  <c r="AL34" i="4"/>
  <c r="AK34" i="4"/>
  <c r="AI34" i="4"/>
  <c r="AH34" i="4"/>
  <c r="AF34" i="4"/>
  <c r="AE34" i="4"/>
  <c r="AC34" i="4"/>
  <c r="AB34" i="4"/>
  <c r="Z34" i="4"/>
  <c r="Y34" i="4"/>
  <c r="W34" i="4"/>
  <c r="V34" i="4"/>
  <c r="T34" i="4"/>
  <c r="S34" i="4"/>
  <c r="Q34" i="4"/>
  <c r="P34" i="4"/>
  <c r="N34" i="4"/>
  <c r="M34" i="4"/>
  <c r="K34" i="4"/>
  <c r="J34" i="4"/>
  <c r="AR32" i="4"/>
  <c r="AQ32" i="4"/>
  <c r="AO32" i="4"/>
  <c r="AN32" i="4"/>
  <c r="AL32" i="4"/>
  <c r="AK32" i="4"/>
  <c r="AI32" i="4"/>
  <c r="AH32" i="4"/>
  <c r="AF32" i="4"/>
  <c r="AE32" i="4"/>
  <c r="AC32" i="4"/>
  <c r="AB32" i="4"/>
  <c r="Z32" i="4"/>
  <c r="Y32" i="4"/>
  <c r="W32" i="4"/>
  <c r="V32" i="4"/>
  <c r="T32" i="4"/>
  <c r="S32" i="4"/>
  <c r="Q32" i="4"/>
  <c r="P32" i="4"/>
  <c r="N32" i="4"/>
  <c r="M32" i="4"/>
  <c r="K32" i="4"/>
  <c r="J32" i="4"/>
  <c r="AR30" i="4"/>
  <c r="AQ30" i="4"/>
  <c r="AO30" i="4"/>
  <c r="AN30" i="4"/>
  <c r="AL30" i="4"/>
  <c r="AK30" i="4"/>
  <c r="AI30" i="4"/>
  <c r="AH30" i="4"/>
  <c r="AF30" i="4"/>
  <c r="AE30" i="4"/>
  <c r="AC30" i="4"/>
  <c r="AB30" i="4"/>
  <c r="Z30" i="4"/>
  <c r="Y30" i="4"/>
  <c r="W30" i="4"/>
  <c r="V30" i="4"/>
  <c r="T30" i="4"/>
  <c r="S30" i="4"/>
  <c r="Q30" i="4"/>
  <c r="P30" i="4"/>
  <c r="N30" i="4"/>
  <c r="M30" i="4"/>
  <c r="K30" i="4"/>
  <c r="J30" i="4"/>
  <c r="AR29" i="4"/>
  <c r="AQ29" i="4"/>
  <c r="AO29" i="4"/>
  <c r="AN29" i="4"/>
  <c r="AL29" i="4"/>
  <c r="AK29" i="4"/>
  <c r="AI29" i="4"/>
  <c r="AH29" i="4"/>
  <c r="AF29" i="4"/>
  <c r="AE29" i="4"/>
  <c r="AC29" i="4"/>
  <c r="AB29" i="4"/>
  <c r="Z29" i="4"/>
  <c r="Y29" i="4"/>
  <c r="W29" i="4"/>
  <c r="V29" i="4"/>
  <c r="T29" i="4"/>
  <c r="S29" i="4"/>
  <c r="Q29" i="4"/>
  <c r="P29" i="4"/>
  <c r="N29" i="4"/>
  <c r="M29" i="4"/>
  <c r="K29" i="4"/>
  <c r="J29" i="4"/>
  <c r="AP26" i="4"/>
  <c r="AM26" i="4"/>
  <c r="AJ26" i="4"/>
  <c r="AG26" i="4"/>
  <c r="AD26" i="4"/>
  <c r="AA26" i="4"/>
  <c r="X26" i="4"/>
  <c r="U26" i="4"/>
  <c r="O26" i="4"/>
  <c r="L26" i="4"/>
  <c r="I26" i="4"/>
  <c r="AR24" i="4"/>
  <c r="AQ24" i="4"/>
  <c r="AO24" i="4"/>
  <c r="AN24" i="4"/>
  <c r="AL24" i="4"/>
  <c r="AK24" i="4"/>
  <c r="AI24" i="4"/>
  <c r="AH24" i="4"/>
  <c r="AF24" i="4"/>
  <c r="AE24" i="4"/>
  <c r="AC24" i="4"/>
  <c r="AB24" i="4"/>
  <c r="Z24" i="4"/>
  <c r="Y24" i="4"/>
  <c r="W24" i="4"/>
  <c r="V24" i="4"/>
  <c r="T24" i="4"/>
  <c r="S24" i="4"/>
  <c r="Q24" i="4"/>
  <c r="P24" i="4"/>
  <c r="N24" i="4"/>
  <c r="M24" i="4"/>
  <c r="K24" i="4"/>
  <c r="J24" i="4"/>
  <c r="AR23" i="4"/>
  <c r="AQ23" i="4"/>
  <c r="AO23" i="4"/>
  <c r="AN23" i="4"/>
  <c r="AL23" i="4"/>
  <c r="AK23" i="4"/>
  <c r="AI23" i="4"/>
  <c r="AH23" i="4"/>
  <c r="AF23" i="4"/>
  <c r="AE23" i="4"/>
  <c r="AC23" i="4"/>
  <c r="AB23" i="4"/>
  <c r="Z23" i="4"/>
  <c r="Y23" i="4"/>
  <c r="W23" i="4"/>
  <c r="V23" i="4"/>
  <c r="T23" i="4"/>
  <c r="S23" i="4"/>
  <c r="Q23" i="4"/>
  <c r="P23" i="4"/>
  <c r="N23" i="4"/>
  <c r="M23" i="4"/>
  <c r="K23" i="4"/>
  <c r="J23" i="4"/>
  <c r="AR22" i="4"/>
  <c r="AQ22" i="4"/>
  <c r="AO22" i="4"/>
  <c r="AN22" i="4"/>
  <c r="AL22" i="4"/>
  <c r="AK22" i="4"/>
  <c r="AI22" i="4"/>
  <c r="AH22" i="4"/>
  <c r="AF22" i="4"/>
  <c r="AE22" i="4"/>
  <c r="AC22" i="4"/>
  <c r="AB22" i="4"/>
  <c r="Z22" i="4"/>
  <c r="Y22" i="4"/>
  <c r="W22" i="4"/>
  <c r="V22" i="4"/>
  <c r="T22" i="4"/>
  <c r="S22" i="4"/>
  <c r="Q22" i="4"/>
  <c r="P22" i="4"/>
  <c r="N22" i="4"/>
  <c r="M22" i="4"/>
  <c r="K22" i="4"/>
  <c r="J22" i="4"/>
  <c r="AR21" i="4"/>
  <c r="AQ21" i="4"/>
  <c r="AO21" i="4"/>
  <c r="AN21" i="4"/>
  <c r="AL21" i="4"/>
  <c r="AK21" i="4"/>
  <c r="AI21" i="4"/>
  <c r="AH21" i="4"/>
  <c r="AF21" i="4"/>
  <c r="AE21" i="4"/>
  <c r="AC21" i="4"/>
  <c r="AB21" i="4"/>
  <c r="Z21" i="4"/>
  <c r="Y21" i="4"/>
  <c r="W21" i="4"/>
  <c r="V21" i="4"/>
  <c r="T21" i="4"/>
  <c r="S21" i="4"/>
  <c r="Q21" i="4"/>
  <c r="P21" i="4"/>
  <c r="N21" i="4"/>
  <c r="M21" i="4"/>
  <c r="K21" i="4"/>
  <c r="J21" i="4"/>
  <c r="AR20" i="4"/>
  <c r="AQ20" i="4"/>
  <c r="AO20" i="4"/>
  <c r="AN20" i="4"/>
  <c r="AL20" i="4"/>
  <c r="AK20" i="4"/>
  <c r="AI20" i="4"/>
  <c r="AH20" i="4"/>
  <c r="AF20" i="4"/>
  <c r="AE20" i="4"/>
  <c r="AC20" i="4"/>
  <c r="AB20" i="4"/>
  <c r="Z20" i="4"/>
  <c r="Y20" i="4"/>
  <c r="W20" i="4"/>
  <c r="V20" i="4"/>
  <c r="T20" i="4"/>
  <c r="S20" i="4"/>
  <c r="Q20" i="4"/>
  <c r="P20" i="4"/>
  <c r="N20" i="4"/>
  <c r="M20" i="4"/>
  <c r="K20" i="4"/>
  <c r="J20" i="4"/>
  <c r="AR19" i="4"/>
  <c r="AQ19" i="4"/>
  <c r="AO19" i="4"/>
  <c r="AN19" i="4"/>
  <c r="AL19" i="4"/>
  <c r="AK19" i="4"/>
  <c r="AI19" i="4"/>
  <c r="AH19" i="4"/>
  <c r="AF19" i="4"/>
  <c r="AE19" i="4"/>
  <c r="AC19" i="4"/>
  <c r="AB19" i="4"/>
  <c r="Z19" i="4"/>
  <c r="Y19" i="4"/>
  <c r="W19" i="4"/>
  <c r="V19" i="4"/>
  <c r="T19" i="4"/>
  <c r="S19" i="4"/>
  <c r="Q19" i="4"/>
  <c r="P19" i="4"/>
  <c r="N19" i="4"/>
  <c r="M19" i="4"/>
  <c r="K19" i="4"/>
  <c r="J19" i="4"/>
  <c r="AR15" i="4"/>
  <c r="AQ15" i="4"/>
  <c r="AO15" i="4"/>
  <c r="AN15" i="4"/>
  <c r="AL15" i="4"/>
  <c r="AK15" i="4"/>
  <c r="AI15" i="4"/>
  <c r="AH15" i="4"/>
  <c r="AF15" i="4"/>
  <c r="AE15" i="4"/>
  <c r="AC15" i="4"/>
  <c r="AB15" i="4"/>
  <c r="Z15" i="4"/>
  <c r="Y15" i="4"/>
  <c r="W15" i="4"/>
  <c r="V15" i="4"/>
  <c r="T15" i="4"/>
  <c r="S15" i="4"/>
  <c r="Q15" i="4"/>
  <c r="P15" i="4"/>
  <c r="N15" i="4"/>
  <c r="M15" i="4"/>
  <c r="K15" i="4"/>
  <c r="J15" i="4"/>
  <c r="AP14" i="4"/>
  <c r="AM14" i="4"/>
  <c r="AJ14" i="4"/>
  <c r="AG14" i="4"/>
  <c r="AD14" i="4"/>
  <c r="AA14" i="4"/>
  <c r="X14" i="4"/>
  <c r="U14" i="4"/>
  <c r="O14" i="4"/>
  <c r="L14" i="4"/>
  <c r="I14" i="4"/>
  <c r="AR13" i="4"/>
  <c r="AQ13" i="4"/>
  <c r="AO13" i="4"/>
  <c r="AN13" i="4"/>
  <c r="AL13" i="4"/>
  <c r="AK13" i="4"/>
  <c r="AI13" i="4"/>
  <c r="AH13" i="4"/>
  <c r="AF13" i="4"/>
  <c r="AE13" i="4"/>
  <c r="AC13" i="4"/>
  <c r="AB13" i="4"/>
  <c r="Z13" i="4"/>
  <c r="Y13" i="4"/>
  <c r="W13" i="4"/>
  <c r="V13" i="4"/>
  <c r="T13" i="4"/>
  <c r="S13" i="4"/>
  <c r="Q13" i="4"/>
  <c r="P13" i="4"/>
  <c r="N13" i="4"/>
  <c r="M13" i="4"/>
  <c r="K13" i="4"/>
  <c r="J13" i="4"/>
  <c r="AR12" i="4"/>
  <c r="AQ12" i="4"/>
  <c r="AO12" i="4"/>
  <c r="AN12" i="4"/>
  <c r="AL12" i="4"/>
  <c r="AK12" i="4"/>
  <c r="AI12" i="4"/>
  <c r="AH12" i="4"/>
  <c r="AF12" i="4"/>
  <c r="AE12" i="4"/>
  <c r="AC12" i="4"/>
  <c r="AB12" i="4"/>
  <c r="Z12" i="4"/>
  <c r="Y12" i="4"/>
  <c r="W12" i="4"/>
  <c r="V12" i="4"/>
  <c r="T12" i="4"/>
  <c r="S12" i="4"/>
  <c r="Q12" i="4"/>
  <c r="P12" i="4"/>
  <c r="N12" i="4"/>
  <c r="M12" i="4"/>
  <c r="K12" i="4"/>
  <c r="J12" i="4"/>
  <c r="AR11" i="4"/>
  <c r="AQ11" i="4"/>
  <c r="AO11" i="4"/>
  <c r="AN11" i="4"/>
  <c r="AL11" i="4"/>
  <c r="AK11" i="4"/>
  <c r="AI11" i="4"/>
  <c r="AH11" i="4"/>
  <c r="AF11" i="4"/>
  <c r="AE11" i="4"/>
  <c r="AC11" i="4"/>
  <c r="AB11" i="4"/>
  <c r="Z11" i="4"/>
  <c r="Y11" i="4"/>
  <c r="W11" i="4"/>
  <c r="V11" i="4"/>
  <c r="T11" i="4"/>
  <c r="S11" i="4"/>
  <c r="Q11" i="4"/>
  <c r="P11" i="4"/>
  <c r="N11" i="4"/>
  <c r="M11" i="4"/>
  <c r="K11" i="4"/>
  <c r="J11" i="4"/>
  <c r="AR10" i="4"/>
  <c r="AQ10" i="4"/>
  <c r="AO10" i="4"/>
  <c r="AN10" i="4"/>
  <c r="AL10" i="4"/>
  <c r="AK10" i="4"/>
  <c r="AI10" i="4"/>
  <c r="AH10" i="4"/>
  <c r="AF10" i="4"/>
  <c r="AE10" i="4"/>
  <c r="AC10" i="4"/>
  <c r="AB10" i="4"/>
  <c r="Z10" i="4"/>
  <c r="Y10" i="4"/>
  <c r="W10" i="4"/>
  <c r="V10" i="4"/>
  <c r="T10" i="4"/>
  <c r="S10" i="4"/>
  <c r="Q10" i="4"/>
  <c r="P10" i="4"/>
  <c r="N10" i="4"/>
  <c r="M10" i="4"/>
  <c r="K10" i="4"/>
  <c r="J10" i="4"/>
  <c r="AR8" i="4"/>
  <c r="AQ8" i="4"/>
  <c r="AO8" i="4"/>
  <c r="AN8" i="4"/>
  <c r="AL8" i="4"/>
  <c r="AK8" i="4"/>
  <c r="AI8" i="4"/>
  <c r="AH8" i="4"/>
  <c r="AF8" i="4"/>
  <c r="AE8" i="4"/>
  <c r="AC8" i="4"/>
  <c r="AB8" i="4"/>
  <c r="Z8" i="4"/>
  <c r="Y8" i="4"/>
  <c r="W8" i="4"/>
  <c r="V8" i="4"/>
  <c r="T8" i="4"/>
  <c r="S8" i="4"/>
  <c r="Q8" i="4"/>
  <c r="P8" i="4"/>
  <c r="N8" i="4"/>
  <c r="M8" i="4"/>
  <c r="K8" i="4"/>
  <c r="J8" i="4"/>
  <c r="AR7" i="4"/>
  <c r="AQ7" i="4"/>
  <c r="AO7" i="4"/>
  <c r="AN7" i="4"/>
  <c r="AL7" i="4"/>
  <c r="AK7" i="4"/>
  <c r="AI7" i="4"/>
  <c r="AH7" i="4"/>
  <c r="AF7" i="4"/>
  <c r="AE7" i="4"/>
  <c r="AC7" i="4"/>
  <c r="AB7" i="4"/>
  <c r="Z7" i="4"/>
  <c r="Y7" i="4"/>
  <c r="W7" i="4"/>
  <c r="V7" i="4"/>
  <c r="T7" i="4"/>
  <c r="S7" i="4"/>
  <c r="Q7" i="4"/>
  <c r="P7" i="4"/>
  <c r="N7" i="4"/>
  <c r="M7" i="4"/>
  <c r="K7" i="4"/>
  <c r="J7" i="4"/>
  <c r="AR6" i="4"/>
  <c r="AQ6" i="4"/>
  <c r="AO6" i="4"/>
  <c r="AN6" i="4"/>
  <c r="AL6" i="4"/>
  <c r="AK6" i="4"/>
  <c r="AI6" i="4"/>
  <c r="AH6" i="4"/>
  <c r="AF6" i="4"/>
  <c r="AE6" i="4"/>
  <c r="AC6" i="4"/>
  <c r="AB6" i="4"/>
  <c r="Z6" i="4"/>
  <c r="Y6" i="4"/>
  <c r="W6" i="4"/>
  <c r="V6" i="4"/>
  <c r="T6" i="4"/>
  <c r="S6" i="4"/>
  <c r="Q6" i="4"/>
  <c r="P6" i="4"/>
  <c r="N6" i="4"/>
  <c r="M6" i="4"/>
  <c r="K6" i="4"/>
  <c r="J6" i="4"/>
  <c r="AR5" i="4"/>
  <c r="AQ5" i="4"/>
  <c r="AO5" i="4"/>
  <c r="AN5" i="4"/>
  <c r="AL5" i="4"/>
  <c r="AK5" i="4"/>
  <c r="AI5" i="4"/>
  <c r="AH5" i="4"/>
  <c r="AF5" i="4"/>
  <c r="AE5" i="4"/>
  <c r="AC5" i="4"/>
  <c r="AB5" i="4"/>
  <c r="Z5" i="4"/>
  <c r="Y5" i="4"/>
  <c r="W5" i="4"/>
  <c r="V5" i="4"/>
  <c r="T5" i="4"/>
  <c r="S5" i="4"/>
  <c r="Q5" i="4"/>
  <c r="P5" i="4"/>
  <c r="N5" i="4"/>
  <c r="M5" i="4"/>
  <c r="K5" i="4"/>
  <c r="J5" i="4"/>
  <c r="AP4" i="4"/>
  <c r="AM4" i="4"/>
  <c r="AJ4" i="4"/>
  <c r="AG4" i="4"/>
  <c r="AD4" i="4"/>
  <c r="AA4" i="4"/>
  <c r="X4" i="4"/>
  <c r="U4" i="4"/>
  <c r="O4" i="4"/>
  <c r="L4" i="4"/>
  <c r="I4" i="4"/>
  <c r="H44" i="4"/>
  <c r="H43" i="4" s="1"/>
  <c r="G44" i="4"/>
  <c r="G43" i="4" s="1"/>
  <c r="F44" i="4"/>
  <c r="F43" i="4" s="1"/>
  <c r="E44" i="4"/>
  <c r="E43" i="4" s="1"/>
  <c r="H37" i="4"/>
  <c r="G37" i="4"/>
  <c r="F37" i="4"/>
  <c r="E37" i="4"/>
  <c r="H26" i="4"/>
  <c r="T26" i="4" s="1"/>
  <c r="G26" i="4"/>
  <c r="F26" i="4"/>
  <c r="E26" i="4"/>
  <c r="H14" i="4"/>
  <c r="G14" i="4"/>
  <c r="F14" i="4"/>
  <c r="E14" i="4"/>
  <c r="H4" i="4"/>
  <c r="G4" i="4"/>
  <c r="F4" i="4"/>
  <c r="E4" i="4"/>
  <c r="AY3" i="10" l="1"/>
  <c r="AU36" i="10"/>
  <c r="P36" i="10"/>
  <c r="L36" i="10"/>
  <c r="U3" i="27"/>
  <c r="AV3" i="10"/>
  <c r="AW3" i="10"/>
  <c r="N26" i="4"/>
  <c r="AQ26" i="4"/>
  <c r="O61" i="11"/>
  <c r="O75" i="11"/>
  <c r="M14" i="4"/>
  <c r="AI26" i="4"/>
  <c r="T4" i="4"/>
  <c r="I64" i="11"/>
  <c r="M68" i="11"/>
  <c r="K37" i="11"/>
  <c r="I61" i="11"/>
  <c r="M64" i="11"/>
  <c r="I75" i="11"/>
  <c r="G64" i="11"/>
  <c r="O55" i="11"/>
  <c r="M61" i="11"/>
  <c r="O71" i="11"/>
  <c r="AQ14" i="4"/>
  <c r="S37" i="4"/>
  <c r="AR37" i="4"/>
  <c r="G25" i="4"/>
  <c r="G51" i="4" s="1"/>
  <c r="AL14" i="4"/>
  <c r="AJ25" i="4"/>
  <c r="AJ51" i="4" s="1"/>
  <c r="Y37" i="4"/>
  <c r="AI44" i="4"/>
  <c r="AO4" i="4"/>
  <c r="P26" i="4"/>
  <c r="AN4" i="4"/>
  <c r="Q37" i="4"/>
  <c r="AC14" i="4"/>
  <c r="W4" i="4"/>
  <c r="Q26" i="4"/>
  <c r="AN26" i="4"/>
  <c r="AB37" i="4"/>
  <c r="X3" i="4"/>
  <c r="AN14" i="4"/>
  <c r="AL26" i="4"/>
  <c r="T44" i="4"/>
  <c r="O25" i="4"/>
  <c r="O51" i="4" s="1"/>
  <c r="S26" i="4"/>
  <c r="W44" i="4"/>
  <c r="AB4" i="4"/>
  <c r="AD3" i="4"/>
  <c r="K26" i="4"/>
  <c r="K37" i="4"/>
  <c r="K44" i="4"/>
  <c r="AE44" i="4"/>
  <c r="AA3" i="4"/>
  <c r="AA25" i="4"/>
  <c r="AA51" i="4" s="1"/>
  <c r="K4" i="4"/>
  <c r="AE4" i="4"/>
  <c r="N14" i="4"/>
  <c r="AK14" i="4"/>
  <c r="AC26" i="4"/>
  <c r="P44" i="4"/>
  <c r="AI4" i="4"/>
  <c r="Q14" i="4"/>
  <c r="AE26" i="4"/>
  <c r="AM25" i="4"/>
  <c r="AN44" i="4"/>
  <c r="K68" i="11"/>
  <c r="O68" i="11"/>
  <c r="I68" i="11"/>
  <c r="AP77" i="4"/>
  <c r="AP62" i="4"/>
  <c r="AP69" i="4"/>
  <c r="L76" i="11"/>
  <c r="G26" i="11"/>
  <c r="M26" i="11"/>
  <c r="G37" i="11"/>
  <c r="E3" i="11"/>
  <c r="I37" i="11"/>
  <c r="I3" i="11"/>
  <c r="I14" i="11"/>
  <c r="E25" i="11"/>
  <c r="E51" i="11" s="1"/>
  <c r="M44" i="11"/>
  <c r="O43" i="11"/>
  <c r="E76" i="11"/>
  <c r="O4" i="11"/>
  <c r="E69" i="11"/>
  <c r="N76" i="11"/>
  <c r="L69" i="11"/>
  <c r="G14" i="11"/>
  <c r="G43" i="11"/>
  <c r="E62" i="11"/>
  <c r="O44" i="11"/>
  <c r="M4" i="11"/>
  <c r="M3" i="11"/>
  <c r="O37" i="11"/>
  <c r="G44" i="11"/>
  <c r="N69" i="11"/>
  <c r="O14" i="11"/>
  <c r="I43" i="11"/>
  <c r="I44" i="11"/>
  <c r="L62" i="11"/>
  <c r="G4" i="11"/>
  <c r="K44" i="11"/>
  <c r="M37" i="11"/>
  <c r="K4" i="11"/>
  <c r="O26" i="11"/>
  <c r="K43" i="11"/>
  <c r="M43" i="11"/>
  <c r="K14" i="11"/>
  <c r="I26" i="11"/>
  <c r="M14" i="11"/>
  <c r="K26" i="11"/>
  <c r="N62" i="11"/>
  <c r="I4" i="11"/>
  <c r="F36" i="5"/>
  <c r="M36" i="10"/>
  <c r="I36" i="10"/>
  <c r="O36" i="10"/>
  <c r="J36" i="10"/>
  <c r="R36" i="10"/>
  <c r="S36" i="10"/>
  <c r="P14" i="4"/>
  <c r="T14" i="4"/>
  <c r="W14" i="4"/>
  <c r="K14" i="4"/>
  <c r="AB43" i="4"/>
  <c r="AC43" i="4"/>
  <c r="AM3" i="4"/>
  <c r="AO14" i="4"/>
  <c r="AP25" i="4"/>
  <c r="AF26" i="4"/>
  <c r="J37" i="4"/>
  <c r="AO37" i="4"/>
  <c r="AE43" i="4"/>
  <c r="Z4" i="4"/>
  <c r="AQ4" i="4"/>
  <c r="AE14" i="4"/>
  <c r="W26" i="4"/>
  <c r="AC37" i="4"/>
  <c r="Y44" i="4"/>
  <c r="AO44" i="4"/>
  <c r="AQ37" i="4"/>
  <c r="O3" i="4"/>
  <c r="AR4" i="4"/>
  <c r="AF14" i="4"/>
  <c r="I25" i="4"/>
  <c r="M26" i="4"/>
  <c r="V26" i="4"/>
  <c r="AK26" i="4"/>
  <c r="AE37" i="4"/>
  <c r="Q43" i="4"/>
  <c r="Z44" i="4"/>
  <c r="AQ44" i="4"/>
  <c r="Y4" i="4"/>
  <c r="Q4" i="4"/>
  <c r="S14" i="4"/>
  <c r="AI14" i="4"/>
  <c r="AG25" i="4"/>
  <c r="AI37" i="4"/>
  <c r="U43" i="4"/>
  <c r="Y43" i="4" s="1"/>
  <c r="AB44" i="4"/>
  <c r="AR44" i="4"/>
  <c r="Z37" i="4"/>
  <c r="F3" i="4"/>
  <c r="U3" i="4"/>
  <c r="S4" i="4"/>
  <c r="L25" i="4"/>
  <c r="AO26" i="4"/>
  <c r="T37" i="4"/>
  <c r="AH37" i="4"/>
  <c r="Q44" i="4"/>
  <c r="W37" i="4"/>
  <c r="AN37" i="4"/>
  <c r="S44" i="4"/>
  <c r="AL43" i="4"/>
  <c r="AN43" i="4"/>
  <c r="I3" i="4"/>
  <c r="AG3" i="4"/>
  <c r="M4" i="4"/>
  <c r="AC4" i="4"/>
  <c r="AK4" i="4"/>
  <c r="Y14" i="4"/>
  <c r="U25" i="4"/>
  <c r="Y26" i="4"/>
  <c r="M37" i="4"/>
  <c r="AK37" i="4"/>
  <c r="I43" i="4"/>
  <c r="AG43" i="4"/>
  <c r="AK43" i="4" s="1"/>
  <c r="AO43" i="4"/>
  <c r="M44" i="4"/>
  <c r="AC44" i="4"/>
  <c r="AK44" i="4"/>
  <c r="AP3" i="4"/>
  <c r="N4" i="4"/>
  <c r="V4" i="4"/>
  <c r="AL4" i="4"/>
  <c r="J14" i="4"/>
  <c r="Z14" i="4"/>
  <c r="AH14" i="4"/>
  <c r="AD25" i="4"/>
  <c r="J26" i="4"/>
  <c r="Z26" i="4"/>
  <c r="AH26" i="4"/>
  <c r="N37" i="4"/>
  <c r="V37" i="4"/>
  <c r="AL37" i="4"/>
  <c r="AP43" i="4"/>
  <c r="N44" i="4"/>
  <c r="V44" i="4"/>
  <c r="AL44" i="4"/>
  <c r="L3" i="4"/>
  <c r="AJ3" i="4"/>
  <c r="P4" i="4"/>
  <c r="AF4" i="4"/>
  <c r="AB14" i="4"/>
  <c r="AR14" i="4"/>
  <c r="X25" i="4"/>
  <c r="AB26" i="4"/>
  <c r="AR26" i="4"/>
  <c r="P37" i="4"/>
  <c r="AF37" i="4"/>
  <c r="L43" i="4"/>
  <c r="AF44" i="4"/>
  <c r="AH4" i="4"/>
  <c r="V14" i="4"/>
  <c r="J44" i="4"/>
  <c r="AH44" i="4"/>
  <c r="J4" i="4"/>
  <c r="H25" i="4"/>
  <c r="E25" i="4"/>
  <c r="E51" i="4" s="1"/>
  <c r="F25" i="4"/>
  <c r="F51" i="4" s="1"/>
  <c r="G3" i="4"/>
  <c r="H3" i="4"/>
  <c r="E3" i="4"/>
  <c r="V3" i="27" l="1"/>
  <c r="U36" i="27"/>
  <c r="AY36" i="10"/>
  <c r="AW36" i="10"/>
  <c r="AV36" i="10"/>
  <c r="BI36" i="10"/>
  <c r="I51" i="4"/>
  <c r="I52" i="4" s="1"/>
  <c r="AP51" i="4"/>
  <c r="AP52" i="4" s="1"/>
  <c r="AL25" i="4"/>
  <c r="AJ52" i="4"/>
  <c r="P25" i="4"/>
  <c r="Q51" i="4"/>
  <c r="F52" i="4"/>
  <c r="AN25" i="4"/>
  <c r="AK25" i="4"/>
  <c r="AM51" i="4"/>
  <c r="AM52" i="4" s="1"/>
  <c r="AA52" i="4"/>
  <c r="AQ25" i="4"/>
  <c r="G52" i="4"/>
  <c r="E52" i="11"/>
  <c r="E52" i="4"/>
  <c r="Z3" i="4"/>
  <c r="Q3" i="4"/>
  <c r="O52" i="4"/>
  <c r="Y3" i="4"/>
  <c r="AC3" i="4"/>
  <c r="AE3" i="4"/>
  <c r="V43" i="4"/>
  <c r="S25" i="4"/>
  <c r="L51" i="4"/>
  <c r="P51" i="4" s="1"/>
  <c r="AO3" i="4"/>
  <c r="AB3" i="4"/>
  <c r="M25" i="4"/>
  <c r="Q25" i="4"/>
  <c r="AC51" i="4"/>
  <c r="AO25" i="4"/>
  <c r="AC25" i="4"/>
  <c r="W3" i="4"/>
  <c r="K3" i="11"/>
  <c r="G3" i="11"/>
  <c r="O3" i="11"/>
  <c r="K51" i="11"/>
  <c r="K25" i="11"/>
  <c r="M25" i="11"/>
  <c r="I51" i="11"/>
  <c r="G25" i="11"/>
  <c r="I25" i="11"/>
  <c r="O25" i="11"/>
  <c r="M51" i="11"/>
  <c r="N25" i="4"/>
  <c r="P3" i="4"/>
  <c r="S51" i="4"/>
  <c r="K25" i="4"/>
  <c r="J25" i="4"/>
  <c r="H51" i="4"/>
  <c r="H52" i="4" s="1"/>
  <c r="T25" i="4"/>
  <c r="AN3" i="4"/>
  <c r="AG51" i="4"/>
  <c r="AK51" i="4" s="1"/>
  <c r="K43" i="4"/>
  <c r="J43" i="4"/>
  <c r="U51" i="4"/>
  <c r="U52" i="4" s="1"/>
  <c r="W25" i="4"/>
  <c r="V25" i="4"/>
  <c r="N43" i="4"/>
  <c r="M43" i="4"/>
  <c r="P43" i="4"/>
  <c r="T3" i="4"/>
  <c r="S3" i="4"/>
  <c r="AF3" i="4"/>
  <c r="Z43" i="4"/>
  <c r="W43" i="4"/>
  <c r="K3" i="4"/>
  <c r="J3" i="4"/>
  <c r="AL3" i="4"/>
  <c r="AK3" i="4"/>
  <c r="N3" i="4"/>
  <c r="M3" i="4"/>
  <c r="AR43" i="4"/>
  <c r="AQ43" i="4"/>
  <c r="AI3" i="4"/>
  <c r="AH3" i="4"/>
  <c r="AI25" i="4"/>
  <c r="AI43" i="4"/>
  <c r="AH43" i="4"/>
  <c r="V3" i="4"/>
  <c r="Z25" i="4"/>
  <c r="Y25" i="4"/>
  <c r="X51" i="4"/>
  <c r="AL51" i="4" s="1"/>
  <c r="AB25" i="4"/>
  <c r="AF43" i="4"/>
  <c r="T43" i="4"/>
  <c r="S43" i="4"/>
  <c r="AD51" i="4"/>
  <c r="AH25" i="4"/>
  <c r="AF25" i="4"/>
  <c r="AE25" i="4"/>
  <c r="AR25" i="4"/>
  <c r="AR3" i="4"/>
  <c r="AQ3" i="4"/>
  <c r="K51" i="4" l="1"/>
  <c r="W3" i="27"/>
  <c r="W36" i="27" s="1"/>
  <c r="V36" i="27"/>
  <c r="AQ51" i="4"/>
  <c r="AR51" i="4"/>
  <c r="AO51" i="4"/>
  <c r="AN51" i="4"/>
  <c r="J51" i="4"/>
  <c r="L52" i="4"/>
  <c r="AG52" i="4"/>
  <c r="AD52" i="4"/>
  <c r="X52" i="4"/>
  <c r="M51" i="4"/>
  <c r="N51" i="4"/>
  <c r="T51" i="4"/>
  <c r="O51" i="11"/>
  <c r="G51" i="11"/>
  <c r="AE51" i="4"/>
  <c r="AF51" i="4"/>
  <c r="AI51" i="4"/>
  <c r="AH51" i="4"/>
  <c r="Z51" i="4"/>
  <c r="Y51" i="4"/>
  <c r="AB51" i="4"/>
  <c r="W51" i="4"/>
  <c r="V51" i="4"/>
  <c r="BE4" i="10" l="1"/>
  <c r="CM3" i="10"/>
  <c r="CL3" i="10"/>
  <c r="CJ3" i="10"/>
  <c r="CI3" i="10"/>
  <c r="CG3" i="10"/>
  <c r="CD3" i="10"/>
  <c r="CC3" i="10"/>
  <c r="CA3" i="10"/>
  <c r="BZ3" i="10"/>
  <c r="BX3" i="10"/>
  <c r="BW3" i="10"/>
  <c r="BU3" i="10"/>
  <c r="BT3" i="10"/>
  <c r="BR3" i="10"/>
  <c r="BQ3" i="10"/>
  <c r="BO3" i="10"/>
  <c r="BN3" i="10"/>
  <c r="BL3" i="10"/>
  <c r="BK3" i="10"/>
  <c r="BI3" i="10"/>
  <c r="BH3" i="10"/>
  <c r="BF3" i="10"/>
  <c r="BE3" i="10"/>
  <c r="X3" i="27"/>
  <c r="AB3" i="27"/>
  <c r="H4" i="29"/>
  <c r="H5" i="29"/>
  <c r="G6" i="29"/>
  <c r="H7" i="29"/>
  <c r="G8" i="29"/>
  <c r="H9" i="29"/>
  <c r="G10" i="29"/>
  <c r="H11" i="29"/>
  <c r="G12" i="29"/>
  <c r="H20" i="29"/>
  <c r="G21" i="29"/>
  <c r="G27" i="29"/>
  <c r="G51" i="29" s="1"/>
  <c r="H27" i="29"/>
  <c r="BO31" i="10"/>
  <c r="BO29" i="10"/>
  <c r="BO21" i="10"/>
  <c r="BQ10" i="10"/>
  <c r="BQ5" i="10"/>
  <c r="BR34" i="10"/>
  <c r="BQ34" i="10"/>
  <c r="BR35" i="10"/>
  <c r="BR33" i="10"/>
  <c r="BR32" i="10"/>
  <c r="BQ32" i="10"/>
  <c r="BR9" i="10"/>
  <c r="BQ9" i="10"/>
  <c r="CA7" i="10"/>
  <c r="BZ7" i="10"/>
  <c r="CA6" i="10"/>
  <c r="BZ6" i="10"/>
  <c r="CA5" i="10"/>
  <c r="BZ5" i="10"/>
  <c r="CA4" i="10"/>
  <c r="BZ4" i="10"/>
  <c r="BX7" i="10"/>
  <c r="BW7" i="10"/>
  <c r="BX6" i="10"/>
  <c r="BW6" i="10"/>
  <c r="BX5" i="10"/>
  <c r="BW5" i="10"/>
  <c r="BX4" i="10"/>
  <c r="BW4" i="10"/>
  <c r="BU7" i="10"/>
  <c r="BT7" i="10"/>
  <c r="BU6" i="10"/>
  <c r="BT6" i="10"/>
  <c r="BU5" i="10"/>
  <c r="BT5" i="10"/>
  <c r="BU4" i="10"/>
  <c r="BT4" i="10"/>
  <c r="BR31" i="10"/>
  <c r="BR30" i="10"/>
  <c r="BQ30" i="10"/>
  <c r="BR29" i="10"/>
  <c r="BQ29" i="10"/>
  <c r="BR28" i="10"/>
  <c r="BQ28" i="10"/>
  <c r="BR27" i="10"/>
  <c r="BQ27" i="10"/>
  <c r="BR26" i="10"/>
  <c r="BQ26" i="10"/>
  <c r="BR25" i="10"/>
  <c r="BQ25" i="10"/>
  <c r="BR24" i="10"/>
  <c r="BQ24" i="10"/>
  <c r="BR23" i="10"/>
  <c r="BR22" i="10"/>
  <c r="BQ22" i="10"/>
  <c r="BR21" i="10"/>
  <c r="BR20" i="10"/>
  <c r="BQ20" i="10"/>
  <c r="BR19" i="10"/>
  <c r="BQ19" i="10"/>
  <c r="BR18" i="10"/>
  <c r="BQ18" i="10"/>
  <c r="BR17" i="10"/>
  <c r="BQ17" i="10"/>
  <c r="BR16" i="10"/>
  <c r="BQ16" i="10"/>
  <c r="BR15" i="10"/>
  <c r="BR14" i="10"/>
  <c r="BQ14" i="10"/>
  <c r="BR10" i="10"/>
  <c r="BR13" i="10"/>
  <c r="BQ13" i="10"/>
  <c r="BR12" i="10"/>
  <c r="BQ12" i="10"/>
  <c r="BR8" i="10"/>
  <c r="BQ8" i="10"/>
  <c r="BR7" i="10"/>
  <c r="BQ7" i="10"/>
  <c r="BR6" i="10"/>
  <c r="BQ6" i="10"/>
  <c r="BR5" i="10"/>
  <c r="BR4" i="10"/>
  <c r="BQ4" i="10"/>
  <c r="BO34" i="10"/>
  <c r="BL34" i="10"/>
  <c r="BI34" i="10"/>
  <c r="BF34" i="10"/>
  <c r="BI35" i="10"/>
  <c r="BF35" i="10"/>
  <c r="BO32" i="10"/>
  <c r="BN32" i="10"/>
  <c r="BL32" i="10"/>
  <c r="BK32" i="10"/>
  <c r="BI32" i="10"/>
  <c r="BH32" i="10"/>
  <c r="BF32" i="10"/>
  <c r="BE32" i="10"/>
  <c r="BO9" i="10"/>
  <c r="BN9" i="10"/>
  <c r="BL9" i="10"/>
  <c r="BK9" i="10"/>
  <c r="BI9" i="10"/>
  <c r="BH9" i="10"/>
  <c r="BF9" i="10"/>
  <c r="BE9" i="10"/>
  <c r="BL31" i="10"/>
  <c r="BK31" i="10"/>
  <c r="BI31" i="10"/>
  <c r="BH31" i="10"/>
  <c r="BF31" i="10"/>
  <c r="BE31" i="10"/>
  <c r="BO30" i="10"/>
  <c r="BN30" i="10"/>
  <c r="BL30" i="10"/>
  <c r="BK30" i="10"/>
  <c r="BI30" i="10"/>
  <c r="BH30" i="10"/>
  <c r="BF30" i="10"/>
  <c r="BE30" i="10"/>
  <c r="BL29" i="10"/>
  <c r="BK29" i="10"/>
  <c r="BI29" i="10"/>
  <c r="BH29" i="10"/>
  <c r="BF29" i="10"/>
  <c r="BE29" i="10"/>
  <c r="BO28" i="10"/>
  <c r="BN28" i="10"/>
  <c r="BL28" i="10"/>
  <c r="BK28" i="10"/>
  <c r="BI28" i="10"/>
  <c r="BH28" i="10"/>
  <c r="BF28" i="10"/>
  <c r="BE28" i="10"/>
  <c r="BO27" i="10"/>
  <c r="BN27" i="10"/>
  <c r="BL27" i="10"/>
  <c r="BK27" i="10"/>
  <c r="BI27" i="10"/>
  <c r="BH27" i="10"/>
  <c r="BF27" i="10"/>
  <c r="BE27" i="10"/>
  <c r="BO26" i="10"/>
  <c r="BN26" i="10"/>
  <c r="BL26" i="10"/>
  <c r="BK26" i="10"/>
  <c r="BI26" i="10"/>
  <c r="BH26" i="10"/>
  <c r="BF26" i="10"/>
  <c r="BE26" i="10"/>
  <c r="BO25" i="10"/>
  <c r="BN25" i="10"/>
  <c r="BL25" i="10"/>
  <c r="BK25" i="10"/>
  <c r="BI25" i="10"/>
  <c r="BH25" i="10"/>
  <c r="BF25" i="10"/>
  <c r="BE25" i="10"/>
  <c r="BO24" i="10"/>
  <c r="BN24" i="10"/>
  <c r="BL24" i="10"/>
  <c r="BK24" i="10"/>
  <c r="BI24" i="10"/>
  <c r="BH24" i="10"/>
  <c r="BF24" i="10"/>
  <c r="BE24" i="10"/>
  <c r="BL23" i="10"/>
  <c r="BK23" i="10"/>
  <c r="BI23" i="10"/>
  <c r="BH23" i="10"/>
  <c r="BF23" i="10"/>
  <c r="BE23" i="10"/>
  <c r="BO22" i="10"/>
  <c r="BN22" i="10"/>
  <c r="BL22" i="10"/>
  <c r="BK22" i="10"/>
  <c r="BI22" i="10"/>
  <c r="BH22" i="10"/>
  <c r="BF22" i="10"/>
  <c r="BE22" i="10"/>
  <c r="BL21" i="10"/>
  <c r="BK21" i="10"/>
  <c r="BI21" i="10"/>
  <c r="BH21" i="10"/>
  <c r="BF21" i="10"/>
  <c r="BE21" i="10"/>
  <c r="BO20" i="10"/>
  <c r="BN20" i="10"/>
  <c r="BL20" i="10"/>
  <c r="BK20" i="10"/>
  <c r="BI20" i="10"/>
  <c r="BH20" i="10"/>
  <c r="BF20" i="10"/>
  <c r="BE20" i="10"/>
  <c r="BO19" i="10"/>
  <c r="BN19" i="10"/>
  <c r="BL19" i="10"/>
  <c r="BK19" i="10"/>
  <c r="BI19" i="10"/>
  <c r="BH19" i="10"/>
  <c r="BF19" i="10"/>
  <c r="BE19" i="10"/>
  <c r="BO18" i="10"/>
  <c r="BN18" i="10"/>
  <c r="BL18" i="10"/>
  <c r="BK18" i="10"/>
  <c r="BI18" i="10"/>
  <c r="BH18" i="10"/>
  <c r="BF18" i="10"/>
  <c r="BE18" i="10"/>
  <c r="BO17" i="10"/>
  <c r="BN17" i="10"/>
  <c r="BL17" i="10"/>
  <c r="BK17" i="10"/>
  <c r="BI17" i="10"/>
  <c r="BH17" i="10"/>
  <c r="BF17" i="10"/>
  <c r="BE17" i="10"/>
  <c r="BO16" i="10"/>
  <c r="BN16" i="10"/>
  <c r="BL16" i="10"/>
  <c r="BK16" i="10"/>
  <c r="BI16" i="10"/>
  <c r="BH16" i="10"/>
  <c r="BF16" i="10"/>
  <c r="BE16" i="10"/>
  <c r="BL15" i="10"/>
  <c r="BK15" i="10"/>
  <c r="BI15" i="10"/>
  <c r="BH15" i="10"/>
  <c r="BF15" i="10"/>
  <c r="BE15" i="10"/>
  <c r="BO14" i="10"/>
  <c r="BL14" i="10"/>
  <c r="BI14" i="10"/>
  <c r="BF14" i="10"/>
  <c r="BL10" i="10"/>
  <c r="BK10" i="10"/>
  <c r="BI10" i="10"/>
  <c r="BH10" i="10"/>
  <c r="BF10" i="10"/>
  <c r="BE10" i="10"/>
  <c r="BO13" i="10"/>
  <c r="BN13" i="10"/>
  <c r="BL13" i="10"/>
  <c r="BK13" i="10"/>
  <c r="BI13" i="10"/>
  <c r="BH13" i="10"/>
  <c r="BF13" i="10"/>
  <c r="BE13" i="10"/>
  <c r="BO12" i="10"/>
  <c r="BN12" i="10"/>
  <c r="BL12" i="10"/>
  <c r="BK12" i="10"/>
  <c r="BI12" i="10"/>
  <c r="BH12" i="10"/>
  <c r="BF12" i="10"/>
  <c r="BE12" i="10"/>
  <c r="BO8" i="10"/>
  <c r="BN8" i="10"/>
  <c r="BL8" i="10"/>
  <c r="BK8" i="10"/>
  <c r="BI8" i="10"/>
  <c r="BH8" i="10"/>
  <c r="BF8" i="10"/>
  <c r="BE8" i="10"/>
  <c r="BO7" i="10"/>
  <c r="BN7" i="10"/>
  <c r="BL7" i="10"/>
  <c r="BK7" i="10"/>
  <c r="BI7" i="10"/>
  <c r="BH7" i="10"/>
  <c r="BF7" i="10"/>
  <c r="BE7" i="10"/>
  <c r="BO6" i="10"/>
  <c r="BN6" i="10"/>
  <c r="BL6" i="10"/>
  <c r="BK6" i="10"/>
  <c r="BI6" i="10"/>
  <c r="BH6" i="10"/>
  <c r="BF6" i="10"/>
  <c r="BE6" i="10"/>
  <c r="BN5" i="10"/>
  <c r="BL5" i="10"/>
  <c r="BK5" i="10"/>
  <c r="BI5" i="10"/>
  <c r="BH5" i="10"/>
  <c r="BF5" i="10"/>
  <c r="BE5" i="10"/>
  <c r="BO4" i="10"/>
  <c r="BN4" i="10"/>
  <c r="BL4" i="10"/>
  <c r="BK4" i="10"/>
  <c r="BI4" i="10"/>
  <c r="BH4" i="10"/>
  <c r="BF4" i="10"/>
  <c r="R35" i="5"/>
  <c r="O71" i="29"/>
  <c r="M71" i="29"/>
  <c r="K71" i="29"/>
  <c r="I71" i="29"/>
  <c r="O70" i="29"/>
  <c r="M70" i="29"/>
  <c r="K70" i="29"/>
  <c r="I70" i="29"/>
  <c r="O69" i="29"/>
  <c r="M69" i="29"/>
  <c r="K69" i="29"/>
  <c r="I69" i="29"/>
  <c r="O68" i="29"/>
  <c r="M68" i="29"/>
  <c r="K68" i="29"/>
  <c r="I68" i="29"/>
  <c r="O67" i="29"/>
  <c r="M67" i="29"/>
  <c r="K67" i="29"/>
  <c r="I67" i="29"/>
  <c r="O63" i="29"/>
  <c r="M63" i="29"/>
  <c r="K63" i="29"/>
  <c r="I63" i="29"/>
  <c r="O62" i="29"/>
  <c r="M62" i="29"/>
  <c r="K62" i="29"/>
  <c r="I62" i="29"/>
  <c r="O61" i="29"/>
  <c r="M61" i="29"/>
  <c r="K61" i="29"/>
  <c r="I61" i="29"/>
  <c r="O60" i="29"/>
  <c r="M60" i="29"/>
  <c r="K60" i="29"/>
  <c r="I60" i="29"/>
  <c r="O59" i="29"/>
  <c r="M59" i="29"/>
  <c r="K59" i="29"/>
  <c r="I59" i="29"/>
  <c r="O58" i="29"/>
  <c r="M58" i="29"/>
  <c r="K58" i="29"/>
  <c r="I58" i="29"/>
  <c r="O57" i="29"/>
  <c r="M57" i="29"/>
  <c r="K57" i="29"/>
  <c r="I57" i="29"/>
  <c r="O56" i="29"/>
  <c r="M56" i="29"/>
  <c r="K56" i="29"/>
  <c r="I56" i="29"/>
  <c r="O55" i="29"/>
  <c r="M55" i="29"/>
  <c r="K55" i="29"/>
  <c r="I55" i="29"/>
  <c r="O54" i="29"/>
  <c r="M54" i="29"/>
  <c r="K54" i="29"/>
  <c r="I54" i="29"/>
  <c r="O53" i="29"/>
  <c r="M53" i="29"/>
  <c r="K53" i="29"/>
  <c r="I53" i="29"/>
  <c r="O52" i="29"/>
  <c r="M52" i="29"/>
  <c r="K52" i="29"/>
  <c r="I52" i="29"/>
  <c r="V47" i="29"/>
  <c r="T47" i="29"/>
  <c r="R47" i="29"/>
  <c r="P47" i="29"/>
  <c r="N47" i="29"/>
  <c r="L47" i="29"/>
  <c r="V46" i="29"/>
  <c r="T46" i="29"/>
  <c r="R46" i="29"/>
  <c r="P46" i="29"/>
  <c r="N46" i="29"/>
  <c r="L46" i="29"/>
  <c r="V45" i="29"/>
  <c r="T45" i="29"/>
  <c r="R45" i="29"/>
  <c r="P45" i="29"/>
  <c r="N45" i="29"/>
  <c r="L45" i="29"/>
  <c r="T44" i="29"/>
  <c r="R44" i="29"/>
  <c r="P44" i="29"/>
  <c r="N44" i="29"/>
  <c r="L44" i="29"/>
  <c r="V39" i="29"/>
  <c r="T39" i="29"/>
  <c r="R39" i="29"/>
  <c r="P39" i="29"/>
  <c r="N39" i="29"/>
  <c r="L39" i="29"/>
  <c r="X38" i="29"/>
  <c r="V38" i="29"/>
  <c r="T38" i="29"/>
  <c r="R38" i="29"/>
  <c r="P38" i="29"/>
  <c r="N38" i="29"/>
  <c r="L38" i="29"/>
  <c r="V37" i="29"/>
  <c r="T37" i="29"/>
  <c r="R37" i="29"/>
  <c r="P37" i="29"/>
  <c r="N37" i="29"/>
  <c r="L37" i="29"/>
  <c r="X36" i="29"/>
  <c r="V36" i="29"/>
  <c r="T36" i="29"/>
  <c r="R36" i="29"/>
  <c r="P36" i="29"/>
  <c r="N36" i="29"/>
  <c r="L36" i="29"/>
  <c r="V35" i="29"/>
  <c r="T35" i="29"/>
  <c r="R35" i="29"/>
  <c r="P35" i="29"/>
  <c r="N35" i="29"/>
  <c r="L35" i="29"/>
  <c r="T34" i="29"/>
  <c r="R34" i="29"/>
  <c r="P34" i="29"/>
  <c r="N34" i="29"/>
  <c r="L34" i="29"/>
  <c r="V33" i="29"/>
  <c r="T33" i="29"/>
  <c r="R33" i="29"/>
  <c r="P33" i="29"/>
  <c r="N33" i="29"/>
  <c r="L33" i="29"/>
  <c r="X32" i="29"/>
  <c r="V32" i="29"/>
  <c r="T32" i="29"/>
  <c r="R32" i="29"/>
  <c r="P32" i="29"/>
  <c r="N32" i="29"/>
  <c r="L32" i="29"/>
  <c r="V31" i="29"/>
  <c r="T31" i="29"/>
  <c r="R31" i="29"/>
  <c r="P31" i="29"/>
  <c r="N31" i="29"/>
  <c r="L31" i="29"/>
  <c r="V30" i="29"/>
  <c r="T30" i="29"/>
  <c r="R30" i="29"/>
  <c r="P30" i="29"/>
  <c r="N30" i="29"/>
  <c r="L30" i="29"/>
  <c r="V29" i="29"/>
  <c r="T29" i="29"/>
  <c r="R29" i="29"/>
  <c r="P29" i="29"/>
  <c r="N29" i="29"/>
  <c r="L29" i="29"/>
  <c r="A29" i="29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T28" i="29"/>
  <c r="R28" i="29"/>
  <c r="P28" i="29"/>
  <c r="N28" i="29"/>
  <c r="L28" i="29"/>
  <c r="A28" i="29"/>
  <c r="V27" i="29"/>
  <c r="T27" i="29"/>
  <c r="R27" i="29"/>
  <c r="P27" i="29"/>
  <c r="O27" i="29"/>
  <c r="O51" i="29" s="1"/>
  <c r="N27" i="29"/>
  <c r="M27" i="29"/>
  <c r="M51" i="29" s="1"/>
  <c r="L27" i="29"/>
  <c r="K27" i="29"/>
  <c r="K51" i="29" s="1"/>
  <c r="J27" i="29"/>
  <c r="I27" i="29"/>
  <c r="I51" i="29" s="1"/>
  <c r="F27" i="29"/>
  <c r="O24" i="29"/>
  <c r="M24" i="29"/>
  <c r="K24" i="29"/>
  <c r="I24" i="29"/>
  <c r="R23" i="29"/>
  <c r="P23" i="29"/>
  <c r="N23" i="29"/>
  <c r="L23" i="29"/>
  <c r="X22" i="29"/>
  <c r="V22" i="29"/>
  <c r="T22" i="29"/>
  <c r="O21" i="29"/>
  <c r="M21" i="29"/>
  <c r="K21" i="29"/>
  <c r="I21" i="29"/>
  <c r="X20" i="29"/>
  <c r="V20" i="29"/>
  <c r="T20" i="29"/>
  <c r="R20" i="29"/>
  <c r="P20" i="29"/>
  <c r="N20" i="29"/>
  <c r="J20" i="29"/>
  <c r="F20" i="29"/>
  <c r="X19" i="29"/>
  <c r="V19" i="29"/>
  <c r="T19" i="29"/>
  <c r="X18" i="29"/>
  <c r="V18" i="29"/>
  <c r="T18" i="29"/>
  <c r="R18" i="29"/>
  <c r="P18" i="29"/>
  <c r="N18" i="29"/>
  <c r="J18" i="29"/>
  <c r="X17" i="29"/>
  <c r="V17" i="29"/>
  <c r="T17" i="29"/>
  <c r="R17" i="29"/>
  <c r="P17" i="29"/>
  <c r="N17" i="29"/>
  <c r="L17" i="29"/>
  <c r="J17" i="29"/>
  <c r="X16" i="29"/>
  <c r="T16" i="29"/>
  <c r="R16" i="29"/>
  <c r="P16" i="29"/>
  <c r="N16" i="29"/>
  <c r="L16" i="29"/>
  <c r="J16" i="29"/>
  <c r="X15" i="29"/>
  <c r="V15" i="29"/>
  <c r="T15" i="29"/>
  <c r="R15" i="29"/>
  <c r="P15" i="29"/>
  <c r="N15" i="29"/>
  <c r="L15" i="29"/>
  <c r="J15" i="29"/>
  <c r="X14" i="29"/>
  <c r="V14" i="29"/>
  <c r="T14" i="29"/>
  <c r="R14" i="29"/>
  <c r="P14" i="29"/>
  <c r="N14" i="29"/>
  <c r="L14" i="29"/>
  <c r="J14" i="29"/>
  <c r="O12" i="29"/>
  <c r="M12" i="29"/>
  <c r="K12" i="29"/>
  <c r="I12" i="29"/>
  <c r="V11" i="29"/>
  <c r="T11" i="29"/>
  <c r="R11" i="29"/>
  <c r="P11" i="29"/>
  <c r="N11" i="29"/>
  <c r="L11" i="29"/>
  <c r="J11" i="29"/>
  <c r="F11" i="29"/>
  <c r="O10" i="29"/>
  <c r="M10" i="29"/>
  <c r="K10" i="29"/>
  <c r="I10" i="29"/>
  <c r="X9" i="29"/>
  <c r="V9" i="29"/>
  <c r="T9" i="29"/>
  <c r="R9" i="29"/>
  <c r="P9" i="29"/>
  <c r="N9" i="29"/>
  <c r="L9" i="29"/>
  <c r="J9" i="29"/>
  <c r="F9" i="29"/>
  <c r="O8" i="29"/>
  <c r="M8" i="29"/>
  <c r="K8" i="29"/>
  <c r="I8" i="29"/>
  <c r="X7" i="29"/>
  <c r="V7" i="29"/>
  <c r="T7" i="29"/>
  <c r="R7" i="29"/>
  <c r="P7" i="29"/>
  <c r="N7" i="29"/>
  <c r="L7" i="29"/>
  <c r="J7" i="29"/>
  <c r="F7" i="29"/>
  <c r="O6" i="29"/>
  <c r="M6" i="29"/>
  <c r="K6" i="29"/>
  <c r="I6" i="29"/>
  <c r="X5" i="29"/>
  <c r="V5" i="29"/>
  <c r="R5" i="29"/>
  <c r="P5" i="29"/>
  <c r="N5" i="29"/>
  <c r="L5" i="29"/>
  <c r="J5" i="29"/>
  <c r="F5" i="29"/>
  <c r="A5" i="29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X4" i="29"/>
  <c r="T4" i="29"/>
  <c r="P4" i="29"/>
  <c r="N4" i="29"/>
  <c r="L4" i="29"/>
  <c r="J4" i="29"/>
  <c r="F4" i="29"/>
  <c r="A4" i="29"/>
  <c r="BM71" i="28"/>
  <c r="BJ71" i="28"/>
  <c r="BG71" i="28"/>
  <c r="BD71" i="28"/>
  <c r="BA71" i="28"/>
  <c r="AX71" i="28"/>
  <c r="AU71" i="28"/>
  <c r="AR71" i="28"/>
  <c r="AO71" i="28"/>
  <c r="AL71" i="28"/>
  <c r="AI71" i="28"/>
  <c r="AF71" i="28"/>
  <c r="AC71" i="28"/>
  <c r="Z71" i="28"/>
  <c r="W71" i="28"/>
  <c r="T71" i="28"/>
  <c r="Q71" i="28"/>
  <c r="N71" i="28"/>
  <c r="K71" i="28"/>
  <c r="H71" i="28"/>
  <c r="G71" i="28"/>
  <c r="F71" i="28"/>
  <c r="E71" i="28"/>
  <c r="D71" i="28"/>
  <c r="BM70" i="28"/>
  <c r="BJ70" i="28"/>
  <c r="BG70" i="28"/>
  <c r="BD70" i="28"/>
  <c r="BA70" i="28"/>
  <c r="AX70" i="28"/>
  <c r="AU70" i="28"/>
  <c r="AR70" i="28"/>
  <c r="AO70" i="28"/>
  <c r="AL70" i="28"/>
  <c r="AI70" i="28"/>
  <c r="AF70" i="28"/>
  <c r="AC70" i="28"/>
  <c r="Z70" i="28"/>
  <c r="W70" i="28"/>
  <c r="T70" i="28"/>
  <c r="Q70" i="28"/>
  <c r="N70" i="28"/>
  <c r="K70" i="28"/>
  <c r="H70" i="28"/>
  <c r="G70" i="28"/>
  <c r="F70" i="28"/>
  <c r="E70" i="28"/>
  <c r="D70" i="28"/>
  <c r="BM69" i="28"/>
  <c r="BJ69" i="28"/>
  <c r="BG69" i="28"/>
  <c r="BD69" i="28"/>
  <c r="BA69" i="28"/>
  <c r="AX69" i="28"/>
  <c r="AU69" i="28"/>
  <c r="AR69" i="28"/>
  <c r="AO69" i="28"/>
  <c r="AL69" i="28"/>
  <c r="AI69" i="28"/>
  <c r="AF69" i="28"/>
  <c r="AC69" i="28"/>
  <c r="Z69" i="28"/>
  <c r="W69" i="28"/>
  <c r="T69" i="28"/>
  <c r="Q69" i="28"/>
  <c r="N69" i="28"/>
  <c r="K69" i="28"/>
  <c r="H69" i="28"/>
  <c r="G69" i="28"/>
  <c r="F69" i="28"/>
  <c r="E69" i="28"/>
  <c r="D69" i="28"/>
  <c r="CK68" i="28"/>
  <c r="BM68" i="28"/>
  <c r="BJ68" i="28"/>
  <c r="BG68" i="28"/>
  <c r="BD68" i="28"/>
  <c r="BA68" i="28"/>
  <c r="AX68" i="28"/>
  <c r="AU68" i="28"/>
  <c r="AR68" i="28"/>
  <c r="AO68" i="28"/>
  <c r="AL68" i="28"/>
  <c r="AI68" i="28"/>
  <c r="AF68" i="28"/>
  <c r="AC68" i="28"/>
  <c r="Z68" i="28"/>
  <c r="W68" i="28"/>
  <c r="T68" i="28"/>
  <c r="Q68" i="28"/>
  <c r="N68" i="28"/>
  <c r="K68" i="28"/>
  <c r="H68" i="28"/>
  <c r="G68" i="28"/>
  <c r="F68" i="28"/>
  <c r="E68" i="28"/>
  <c r="D68" i="28"/>
  <c r="CK67" i="28"/>
  <c r="BM67" i="28"/>
  <c r="BJ67" i="28"/>
  <c r="BG67" i="28"/>
  <c r="BD67" i="28"/>
  <c r="BA67" i="28"/>
  <c r="AX67" i="28"/>
  <c r="AU67" i="28"/>
  <c r="AR67" i="28"/>
  <c r="AO67" i="28"/>
  <c r="AL67" i="28"/>
  <c r="AI67" i="28"/>
  <c r="AF67" i="28"/>
  <c r="AC67" i="28"/>
  <c r="Z67" i="28"/>
  <c r="W67" i="28"/>
  <c r="T67" i="28"/>
  <c r="Q67" i="28"/>
  <c r="N67" i="28"/>
  <c r="K67" i="28"/>
  <c r="H67" i="28"/>
  <c r="G67" i="28"/>
  <c r="F67" i="28"/>
  <c r="E67" i="28"/>
  <c r="D67" i="28"/>
  <c r="CK66" i="28"/>
  <c r="BM63" i="28"/>
  <c r="BJ63" i="28"/>
  <c r="BG63" i="28"/>
  <c r="BD63" i="28"/>
  <c r="BA63" i="28"/>
  <c r="AX63" i="28"/>
  <c r="AU63" i="28"/>
  <c r="AR63" i="28"/>
  <c r="AO63" i="28"/>
  <c r="AL63" i="28"/>
  <c r="AI63" i="28"/>
  <c r="AF63" i="28"/>
  <c r="AC63" i="28"/>
  <c r="Z63" i="28"/>
  <c r="W63" i="28"/>
  <c r="T63" i="28"/>
  <c r="Q63" i="28"/>
  <c r="N63" i="28"/>
  <c r="K63" i="28"/>
  <c r="H63" i="28"/>
  <c r="G63" i="28"/>
  <c r="F63" i="28"/>
  <c r="E63" i="28"/>
  <c r="D63" i="28"/>
  <c r="BM62" i="28"/>
  <c r="BJ62" i="28"/>
  <c r="BG62" i="28"/>
  <c r="BD62" i="28"/>
  <c r="BA62" i="28"/>
  <c r="AX62" i="28"/>
  <c r="AU62" i="28"/>
  <c r="AR62" i="28"/>
  <c r="AO62" i="28"/>
  <c r="AL62" i="28"/>
  <c r="AI62" i="28"/>
  <c r="AF62" i="28"/>
  <c r="AC62" i="28"/>
  <c r="Z62" i="28"/>
  <c r="W62" i="28"/>
  <c r="T62" i="28"/>
  <c r="Q62" i="28"/>
  <c r="N62" i="28"/>
  <c r="K62" i="28"/>
  <c r="H62" i="28"/>
  <c r="G62" i="28"/>
  <c r="F62" i="28"/>
  <c r="E62" i="28"/>
  <c r="D62" i="28"/>
  <c r="BM61" i="28"/>
  <c r="BJ61" i="28"/>
  <c r="BG61" i="28"/>
  <c r="BD61" i="28"/>
  <c r="BA61" i="28"/>
  <c r="AX61" i="28"/>
  <c r="AU61" i="28"/>
  <c r="AR61" i="28"/>
  <c r="AO61" i="28"/>
  <c r="AL61" i="28"/>
  <c r="AI61" i="28"/>
  <c r="AF61" i="28"/>
  <c r="AC61" i="28"/>
  <c r="Z61" i="28"/>
  <c r="W61" i="28"/>
  <c r="T61" i="28"/>
  <c r="Q61" i="28"/>
  <c r="N61" i="28"/>
  <c r="K61" i="28"/>
  <c r="H61" i="28"/>
  <c r="G61" i="28"/>
  <c r="F61" i="28"/>
  <c r="E61" i="28"/>
  <c r="D61" i="28"/>
  <c r="BM60" i="28"/>
  <c r="BJ60" i="28"/>
  <c r="BG60" i="28"/>
  <c r="BD60" i="28"/>
  <c r="BA60" i="28"/>
  <c r="AX60" i="28"/>
  <c r="AU60" i="28"/>
  <c r="AR60" i="28"/>
  <c r="AO60" i="28"/>
  <c r="AL60" i="28"/>
  <c r="AI60" i="28"/>
  <c r="AF60" i="28"/>
  <c r="AC60" i="28"/>
  <c r="Z60" i="28"/>
  <c r="W60" i="28"/>
  <c r="T60" i="28"/>
  <c r="Q60" i="28"/>
  <c r="N60" i="28"/>
  <c r="K60" i="28"/>
  <c r="H60" i="28"/>
  <c r="G60" i="28"/>
  <c r="F60" i="28"/>
  <c r="E60" i="28"/>
  <c r="D60" i="28"/>
  <c r="BM59" i="28"/>
  <c r="BJ59" i="28"/>
  <c r="BG59" i="28"/>
  <c r="BD59" i="28"/>
  <c r="BA59" i="28"/>
  <c r="AX59" i="28"/>
  <c r="AU59" i="28"/>
  <c r="AR59" i="28"/>
  <c r="AO59" i="28"/>
  <c r="AL59" i="28"/>
  <c r="AI59" i="28"/>
  <c r="AF59" i="28"/>
  <c r="AC59" i="28"/>
  <c r="Z59" i="28"/>
  <c r="W59" i="28"/>
  <c r="T59" i="28"/>
  <c r="Q59" i="28"/>
  <c r="N59" i="28"/>
  <c r="K59" i="28"/>
  <c r="H59" i="28"/>
  <c r="G59" i="28"/>
  <c r="F59" i="28"/>
  <c r="E59" i="28"/>
  <c r="D59" i="28"/>
  <c r="BM58" i="28"/>
  <c r="BJ58" i="28"/>
  <c r="BG58" i="28"/>
  <c r="BD58" i="28"/>
  <c r="BA58" i="28"/>
  <c r="AX58" i="28"/>
  <c r="AU58" i="28"/>
  <c r="AR58" i="28"/>
  <c r="AO58" i="28"/>
  <c r="AL58" i="28"/>
  <c r="AI58" i="28"/>
  <c r="AF58" i="28"/>
  <c r="AC58" i="28"/>
  <c r="Z58" i="28"/>
  <c r="W58" i="28"/>
  <c r="T58" i="28"/>
  <c r="Q58" i="28"/>
  <c r="N58" i="28"/>
  <c r="K58" i="28"/>
  <c r="H58" i="28"/>
  <c r="G58" i="28"/>
  <c r="F58" i="28"/>
  <c r="E58" i="28"/>
  <c r="D58" i="28"/>
  <c r="BM57" i="28"/>
  <c r="BJ57" i="28"/>
  <c r="BG57" i="28"/>
  <c r="BD57" i="28"/>
  <c r="BA57" i="28"/>
  <c r="AX57" i="28"/>
  <c r="AU57" i="28"/>
  <c r="AR57" i="28"/>
  <c r="AO57" i="28"/>
  <c r="AL57" i="28"/>
  <c r="AI57" i="28"/>
  <c r="AF57" i="28"/>
  <c r="AC57" i="28"/>
  <c r="Z57" i="28"/>
  <c r="W57" i="28"/>
  <c r="T57" i="28"/>
  <c r="Q57" i="28"/>
  <c r="N57" i="28"/>
  <c r="K57" i="28"/>
  <c r="H57" i="28"/>
  <c r="G57" i="28"/>
  <c r="F57" i="28"/>
  <c r="E57" i="28"/>
  <c r="D57" i="28"/>
  <c r="BM56" i="28"/>
  <c r="BJ56" i="28"/>
  <c r="BG56" i="28"/>
  <c r="BD56" i="28"/>
  <c r="BA56" i="28"/>
  <c r="AX56" i="28"/>
  <c r="AU56" i="28"/>
  <c r="AR56" i="28"/>
  <c r="AO56" i="28"/>
  <c r="AL56" i="28"/>
  <c r="AI56" i="28"/>
  <c r="AF56" i="28"/>
  <c r="AC56" i="28"/>
  <c r="Z56" i="28"/>
  <c r="W56" i="28"/>
  <c r="T56" i="28"/>
  <c r="Q56" i="28"/>
  <c r="N56" i="28"/>
  <c r="K56" i="28"/>
  <c r="H56" i="28"/>
  <c r="G56" i="28"/>
  <c r="F56" i="28"/>
  <c r="E56" i="28"/>
  <c r="D56" i="28"/>
  <c r="BM55" i="28"/>
  <c r="BJ55" i="28"/>
  <c r="BG55" i="28"/>
  <c r="BD55" i="28"/>
  <c r="BA55" i="28"/>
  <c r="AX55" i="28"/>
  <c r="AU55" i="28"/>
  <c r="AR55" i="28"/>
  <c r="AO55" i="28"/>
  <c r="AL55" i="28"/>
  <c r="AI55" i="28"/>
  <c r="AF55" i="28"/>
  <c r="AC55" i="28"/>
  <c r="Z55" i="28"/>
  <c r="W55" i="28"/>
  <c r="T55" i="28"/>
  <c r="Q55" i="28"/>
  <c r="N55" i="28"/>
  <c r="K55" i="28"/>
  <c r="H55" i="28"/>
  <c r="G55" i="28"/>
  <c r="F55" i="28"/>
  <c r="E55" i="28"/>
  <c r="D55" i="28"/>
  <c r="BM54" i="28"/>
  <c r="BJ54" i="28"/>
  <c r="BG54" i="28"/>
  <c r="BD54" i="28"/>
  <c r="BA54" i="28"/>
  <c r="AX54" i="28"/>
  <c r="AU54" i="28"/>
  <c r="AR54" i="28"/>
  <c r="AO54" i="28"/>
  <c r="AL54" i="28"/>
  <c r="AI54" i="28"/>
  <c r="AF54" i="28"/>
  <c r="AC54" i="28"/>
  <c r="Z54" i="28"/>
  <c r="W54" i="28"/>
  <c r="T54" i="28"/>
  <c r="Q54" i="28"/>
  <c r="N54" i="28"/>
  <c r="K54" i="28"/>
  <c r="H54" i="28"/>
  <c r="G54" i="28"/>
  <c r="F54" i="28"/>
  <c r="E54" i="28"/>
  <c r="D54" i="28"/>
  <c r="BM53" i="28"/>
  <c r="BJ53" i="28"/>
  <c r="BG53" i="28"/>
  <c r="BD53" i="28"/>
  <c r="BA53" i="28"/>
  <c r="AX53" i="28"/>
  <c r="AU53" i="28"/>
  <c r="AR53" i="28"/>
  <c r="AO53" i="28"/>
  <c r="AL53" i="28"/>
  <c r="AI53" i="28"/>
  <c r="AF53" i="28"/>
  <c r="AC53" i="28"/>
  <c r="Z53" i="28"/>
  <c r="W53" i="28"/>
  <c r="T53" i="28"/>
  <c r="Q53" i="28"/>
  <c r="N53" i="28"/>
  <c r="K53" i="28"/>
  <c r="H53" i="28"/>
  <c r="G53" i="28"/>
  <c r="F53" i="28"/>
  <c r="E53" i="28"/>
  <c r="D53" i="28"/>
  <c r="BM52" i="28"/>
  <c r="BJ52" i="28"/>
  <c r="BG52" i="28"/>
  <c r="BD52" i="28"/>
  <c r="BA52" i="28"/>
  <c r="AX52" i="28"/>
  <c r="AU52" i="28"/>
  <c r="AR52" i="28"/>
  <c r="AO52" i="28"/>
  <c r="AL52" i="28"/>
  <c r="AI52" i="28"/>
  <c r="AF52" i="28"/>
  <c r="AC52" i="28"/>
  <c r="Z52" i="28"/>
  <c r="W52" i="28"/>
  <c r="T52" i="28"/>
  <c r="Q52" i="28"/>
  <c r="N52" i="28"/>
  <c r="K52" i="28"/>
  <c r="H52" i="28"/>
  <c r="G52" i="28"/>
  <c r="F52" i="28"/>
  <c r="E52" i="28"/>
  <c r="D52" i="28"/>
  <c r="CE51" i="28"/>
  <c r="CB51" i="28"/>
  <c r="BY51" i="28"/>
  <c r="BG51" i="28"/>
  <c r="BA51" i="28"/>
  <c r="AI51" i="28"/>
  <c r="AF51" i="28"/>
  <c r="AC51" i="28"/>
  <c r="K51" i="28"/>
  <c r="E51" i="28"/>
  <c r="CM47" i="28"/>
  <c r="CL47" i="28"/>
  <c r="CJ47" i="28"/>
  <c r="CI47" i="28"/>
  <c r="CG47" i="28"/>
  <c r="CF47" i="28"/>
  <c r="CD47" i="28"/>
  <c r="CC47" i="28"/>
  <c r="CA47" i="28"/>
  <c r="BZ47" i="28"/>
  <c r="BX47" i="28"/>
  <c r="BW47" i="28"/>
  <c r="BU47" i="28"/>
  <c r="BT47" i="28"/>
  <c r="BR47" i="28"/>
  <c r="BQ47" i="28"/>
  <c r="BO47" i="28"/>
  <c r="BN47" i="28"/>
  <c r="BL47" i="28"/>
  <c r="BK47" i="28"/>
  <c r="BI47" i="28"/>
  <c r="BH47" i="28"/>
  <c r="BF47" i="28"/>
  <c r="BE47" i="28"/>
  <c r="BC47" i="28"/>
  <c r="BB47" i="28"/>
  <c r="AZ47" i="28"/>
  <c r="AY47" i="28"/>
  <c r="AW47" i="28"/>
  <c r="AV47" i="28"/>
  <c r="AT47" i="28"/>
  <c r="AS47" i="28"/>
  <c r="AQ47" i="28"/>
  <c r="AP47" i="28"/>
  <c r="AN47" i="28"/>
  <c r="AM47" i="28"/>
  <c r="AK47" i="28"/>
  <c r="AJ47" i="28"/>
  <c r="AH47" i="28"/>
  <c r="AG47" i="28"/>
  <c r="AE47" i="28"/>
  <c r="AD47" i="28"/>
  <c r="AB47" i="28"/>
  <c r="AA47" i="28"/>
  <c r="Y47" i="28"/>
  <c r="X47" i="28"/>
  <c r="V47" i="28"/>
  <c r="U47" i="28"/>
  <c r="S47" i="28"/>
  <c r="R47" i="28"/>
  <c r="P47" i="28"/>
  <c r="O47" i="28"/>
  <c r="M47" i="28"/>
  <c r="L47" i="28"/>
  <c r="J47" i="28"/>
  <c r="I47" i="28"/>
  <c r="CM46" i="28"/>
  <c r="CL46" i="28"/>
  <c r="CK46" i="28"/>
  <c r="CK70" i="28" s="1"/>
  <c r="CE46" i="28"/>
  <c r="CB46" i="28"/>
  <c r="CA46" i="28"/>
  <c r="BY46" i="28"/>
  <c r="BV46" i="28"/>
  <c r="BU46" i="28"/>
  <c r="BT46" i="28"/>
  <c r="BS46" i="28"/>
  <c r="BR46" i="28"/>
  <c r="BP46" i="28"/>
  <c r="BQ46" i="28" s="1"/>
  <c r="BO46" i="28"/>
  <c r="BN46" i="28"/>
  <c r="BL46" i="28"/>
  <c r="BK46" i="28"/>
  <c r="BI46" i="28"/>
  <c r="BH46" i="28"/>
  <c r="BF46" i="28"/>
  <c r="BE46" i="28"/>
  <c r="BC46" i="28"/>
  <c r="BB46" i="28"/>
  <c r="AZ46" i="28"/>
  <c r="AY46" i="28"/>
  <c r="AW46" i="28"/>
  <c r="AV46" i="28"/>
  <c r="AT46" i="28"/>
  <c r="AS46" i="28"/>
  <c r="AQ46" i="28"/>
  <c r="AP46" i="28"/>
  <c r="AN46" i="28"/>
  <c r="AM46" i="28"/>
  <c r="AK46" i="28"/>
  <c r="AJ46" i="28"/>
  <c r="AH46" i="28"/>
  <c r="AG46" i="28"/>
  <c r="AE46" i="28"/>
  <c r="AD46" i="28"/>
  <c r="AB46" i="28"/>
  <c r="AA46" i="28"/>
  <c r="Y46" i="28"/>
  <c r="X46" i="28"/>
  <c r="V46" i="28"/>
  <c r="U46" i="28"/>
  <c r="S46" i="28"/>
  <c r="R46" i="28"/>
  <c r="P46" i="28"/>
  <c r="O46" i="28"/>
  <c r="M46" i="28"/>
  <c r="L46" i="28"/>
  <c r="J46" i="28"/>
  <c r="I46" i="28"/>
  <c r="CL45" i="28"/>
  <c r="CK45" i="28"/>
  <c r="CK69" i="28" s="1"/>
  <c r="CH45" i="28"/>
  <c r="CE45" i="28"/>
  <c r="CD45" i="28"/>
  <c r="CC45" i="28"/>
  <c r="CB45" i="28"/>
  <c r="CA45" i="28"/>
  <c r="BY45" i="28"/>
  <c r="BV45" i="28"/>
  <c r="CJ45" i="28" s="1"/>
  <c r="BU45" i="28"/>
  <c r="BS45" i="28"/>
  <c r="BP45" i="28"/>
  <c r="BO45" i="28"/>
  <c r="BN45" i="28"/>
  <c r="BL45" i="28"/>
  <c r="BK45" i="28"/>
  <c r="BI45" i="28"/>
  <c r="BH45" i="28"/>
  <c r="BF45" i="28"/>
  <c r="BE45" i="28"/>
  <c r="BC45" i="28"/>
  <c r="BB45" i="28"/>
  <c r="AZ45" i="28"/>
  <c r="AY45" i="28"/>
  <c r="AW45" i="28"/>
  <c r="AV45" i="28"/>
  <c r="AT45" i="28"/>
  <c r="AS45" i="28"/>
  <c r="AQ45" i="28"/>
  <c r="AP45" i="28"/>
  <c r="AN45" i="28"/>
  <c r="AM45" i="28"/>
  <c r="AK45" i="28"/>
  <c r="AJ45" i="28"/>
  <c r="AH45" i="28"/>
  <c r="AG45" i="28"/>
  <c r="AE45" i="28"/>
  <c r="AD45" i="28"/>
  <c r="AB45" i="28"/>
  <c r="AA45" i="28"/>
  <c r="Y45" i="28"/>
  <c r="X45" i="28"/>
  <c r="V45" i="28"/>
  <c r="U45" i="28"/>
  <c r="S45" i="28"/>
  <c r="R45" i="28"/>
  <c r="P45" i="28"/>
  <c r="O45" i="28"/>
  <c r="M45" i="28"/>
  <c r="L45" i="28"/>
  <c r="J45" i="28"/>
  <c r="I45" i="28"/>
  <c r="CK44" i="28"/>
  <c r="CK71" i="28" s="1"/>
  <c r="CE44" i="28"/>
  <c r="BO44" i="28"/>
  <c r="BN44" i="28"/>
  <c r="BL44" i="28"/>
  <c r="BK44" i="28"/>
  <c r="BI44" i="28"/>
  <c r="BH44" i="28"/>
  <c r="BF44" i="28"/>
  <c r="BE44" i="28"/>
  <c r="BC44" i="28"/>
  <c r="BB44" i="28"/>
  <c r="AZ44" i="28"/>
  <c r="AY44" i="28"/>
  <c r="AW44" i="28"/>
  <c r="AV44" i="28"/>
  <c r="AT44" i="28"/>
  <c r="AS44" i="28"/>
  <c r="AQ44" i="28"/>
  <c r="AP44" i="28"/>
  <c r="AN44" i="28"/>
  <c r="AM44" i="28"/>
  <c r="AK44" i="28"/>
  <c r="AJ44" i="28"/>
  <c r="AH44" i="28"/>
  <c r="AG44" i="28"/>
  <c r="AE44" i="28"/>
  <c r="AD44" i="28"/>
  <c r="AB44" i="28"/>
  <c r="AA44" i="28"/>
  <c r="Y44" i="28"/>
  <c r="X44" i="28"/>
  <c r="V44" i="28"/>
  <c r="U44" i="28"/>
  <c r="S44" i="28"/>
  <c r="R44" i="28"/>
  <c r="P44" i="28"/>
  <c r="O44" i="28"/>
  <c r="M44" i="28"/>
  <c r="L44" i="28"/>
  <c r="J44" i="28"/>
  <c r="I44" i="28"/>
  <c r="CM43" i="28"/>
  <c r="CL43" i="28"/>
  <c r="CJ43" i="28"/>
  <c r="CI43" i="28"/>
  <c r="CG43" i="28"/>
  <c r="CF43" i="28"/>
  <c r="CD43" i="28"/>
  <c r="CC43" i="28"/>
  <c r="CA43" i="28"/>
  <c r="BZ43" i="28"/>
  <c r="BX43" i="28"/>
  <c r="BW43" i="28"/>
  <c r="BU43" i="28"/>
  <c r="BT43" i="28"/>
  <c r="BR43" i="28"/>
  <c r="BQ43" i="28"/>
  <c r="BN43" i="28"/>
  <c r="BK43" i="28"/>
  <c r="BH43" i="28"/>
  <c r="CM39" i="28"/>
  <c r="CL39" i="28"/>
  <c r="CJ39" i="28"/>
  <c r="CI39" i="28"/>
  <c r="CG39" i="28"/>
  <c r="CF39" i="28"/>
  <c r="CD39" i="28"/>
  <c r="CC39" i="28"/>
  <c r="CA39" i="28"/>
  <c r="BZ39" i="28"/>
  <c r="BX39" i="28"/>
  <c r="BW39" i="28"/>
  <c r="BU39" i="28"/>
  <c r="BT39" i="28"/>
  <c r="BR39" i="28"/>
  <c r="BQ39" i="28"/>
  <c r="BO39" i="28"/>
  <c r="BN39" i="28"/>
  <c r="BL39" i="28"/>
  <c r="BK39" i="28"/>
  <c r="BI39" i="28"/>
  <c r="BH39" i="28"/>
  <c r="BF39" i="28"/>
  <c r="BE39" i="28"/>
  <c r="BC39" i="28"/>
  <c r="BB39" i="28"/>
  <c r="AZ39" i="28"/>
  <c r="AY39" i="28"/>
  <c r="AW39" i="28"/>
  <c r="AV39" i="28"/>
  <c r="AT39" i="28"/>
  <c r="AS39" i="28"/>
  <c r="AQ39" i="28"/>
  <c r="AP39" i="28"/>
  <c r="AN39" i="28"/>
  <c r="AM39" i="28"/>
  <c r="AK39" i="28"/>
  <c r="AJ39" i="28"/>
  <c r="AH39" i="28"/>
  <c r="AG39" i="28"/>
  <c r="AE39" i="28"/>
  <c r="AD39" i="28"/>
  <c r="AB39" i="28"/>
  <c r="AA39" i="28"/>
  <c r="Y39" i="28"/>
  <c r="X39" i="28"/>
  <c r="V39" i="28"/>
  <c r="U39" i="28"/>
  <c r="S39" i="28"/>
  <c r="R39" i="28"/>
  <c r="P39" i="28"/>
  <c r="O39" i="28"/>
  <c r="M39" i="28"/>
  <c r="L39" i="28"/>
  <c r="J39" i="28"/>
  <c r="I39" i="28"/>
  <c r="CM38" i="28"/>
  <c r="CL38" i="28"/>
  <c r="CJ38" i="28"/>
  <c r="CI38" i="28"/>
  <c r="CG38" i="28"/>
  <c r="CF38" i="28"/>
  <c r="CD38" i="28"/>
  <c r="CC38" i="28"/>
  <c r="CA38" i="28"/>
  <c r="BZ38" i="28"/>
  <c r="BX38" i="28"/>
  <c r="BW38" i="28"/>
  <c r="BU38" i="28"/>
  <c r="BT38" i="28"/>
  <c r="BR38" i="28"/>
  <c r="BQ38" i="28"/>
  <c r="BO38" i="28"/>
  <c r="BN38" i="28"/>
  <c r="BL38" i="28"/>
  <c r="BK38" i="28"/>
  <c r="BI38" i="28"/>
  <c r="BH38" i="28"/>
  <c r="BF38" i="28"/>
  <c r="BE38" i="28"/>
  <c r="BC38" i="28"/>
  <c r="BB38" i="28"/>
  <c r="AZ38" i="28"/>
  <c r="AY38" i="28"/>
  <c r="AW38" i="28"/>
  <c r="AV38" i="28"/>
  <c r="AT38" i="28"/>
  <c r="AS38" i="28"/>
  <c r="AQ38" i="28"/>
  <c r="AP38" i="28"/>
  <c r="AN38" i="28"/>
  <c r="AM38" i="28"/>
  <c r="AK38" i="28"/>
  <c r="AJ38" i="28"/>
  <c r="AH38" i="28"/>
  <c r="AG38" i="28"/>
  <c r="AE38" i="28"/>
  <c r="AD38" i="28"/>
  <c r="AB38" i="28"/>
  <c r="AA38" i="28"/>
  <c r="Y38" i="28"/>
  <c r="X38" i="28"/>
  <c r="V38" i="28"/>
  <c r="U38" i="28"/>
  <c r="S38" i="28"/>
  <c r="R38" i="28"/>
  <c r="P38" i="28"/>
  <c r="O38" i="28"/>
  <c r="M38" i="28"/>
  <c r="L38" i="28"/>
  <c r="J38" i="28"/>
  <c r="I38" i="28"/>
  <c r="CK37" i="28"/>
  <c r="CK61" i="28" s="1"/>
  <c r="CH37" i="28"/>
  <c r="CF37" i="28"/>
  <c r="CE37" i="28"/>
  <c r="CB37" i="28"/>
  <c r="CC37" i="28" s="1"/>
  <c r="CA37" i="28"/>
  <c r="BZ37" i="28"/>
  <c r="BY37" i="28"/>
  <c r="CM37" i="28" s="1"/>
  <c r="BX37" i="28"/>
  <c r="BV37" i="28"/>
  <c r="BS37" i="28"/>
  <c r="BP37" i="28"/>
  <c r="BO37" i="28"/>
  <c r="BN37" i="28"/>
  <c r="BL37" i="28"/>
  <c r="BK37" i="28"/>
  <c r="BI37" i="28"/>
  <c r="BH37" i="28"/>
  <c r="BF37" i="28"/>
  <c r="BE37" i="28"/>
  <c r="BC37" i="28"/>
  <c r="BB37" i="28"/>
  <c r="AZ37" i="28"/>
  <c r="AY37" i="28"/>
  <c r="AW37" i="28"/>
  <c r="AV37" i="28"/>
  <c r="AT37" i="28"/>
  <c r="AS37" i="28"/>
  <c r="AQ37" i="28"/>
  <c r="AP37" i="28"/>
  <c r="AN37" i="28"/>
  <c r="AM37" i="28"/>
  <c r="AK37" i="28"/>
  <c r="AJ37" i="28"/>
  <c r="AH37" i="28"/>
  <c r="AG37" i="28"/>
  <c r="AE37" i="28"/>
  <c r="AD37" i="28"/>
  <c r="AB37" i="28"/>
  <c r="AA37" i="28"/>
  <c r="Y37" i="28"/>
  <c r="X37" i="28"/>
  <c r="V37" i="28"/>
  <c r="U37" i="28"/>
  <c r="S37" i="28"/>
  <c r="R37" i="28"/>
  <c r="P37" i="28"/>
  <c r="O37" i="28"/>
  <c r="M37" i="28"/>
  <c r="L37" i="28"/>
  <c r="J37" i="28"/>
  <c r="I37" i="28"/>
  <c r="CM36" i="28"/>
  <c r="CL36" i="28"/>
  <c r="CJ36" i="28"/>
  <c r="CI36" i="28"/>
  <c r="CG36" i="28"/>
  <c r="CF36" i="28"/>
  <c r="CD36" i="28"/>
  <c r="CC36" i="28"/>
  <c r="CA36" i="28"/>
  <c r="BZ36" i="28"/>
  <c r="BX36" i="28"/>
  <c r="BW36" i="28"/>
  <c r="BU36" i="28"/>
  <c r="BT36" i="28"/>
  <c r="BR36" i="28"/>
  <c r="BQ36" i="28"/>
  <c r="BO36" i="28"/>
  <c r="BN36" i="28"/>
  <c r="BL36" i="28"/>
  <c r="BK36" i="28"/>
  <c r="BI36" i="28"/>
  <c r="BH36" i="28"/>
  <c r="BF36" i="28"/>
  <c r="BE36" i="28"/>
  <c r="BC36" i="28"/>
  <c r="BB36" i="28"/>
  <c r="AZ36" i="28"/>
  <c r="AY36" i="28"/>
  <c r="AW36" i="28"/>
  <c r="AV36" i="28"/>
  <c r="AT36" i="28"/>
  <c r="AS36" i="28"/>
  <c r="AQ36" i="28"/>
  <c r="AP36" i="28"/>
  <c r="AN36" i="28"/>
  <c r="AM36" i="28"/>
  <c r="AK36" i="28"/>
  <c r="AJ36" i="28"/>
  <c r="AH36" i="28"/>
  <c r="AG36" i="28"/>
  <c r="AE36" i="28"/>
  <c r="AD36" i="28"/>
  <c r="AB36" i="28"/>
  <c r="AA36" i="28"/>
  <c r="Y36" i="28"/>
  <c r="X36" i="28"/>
  <c r="V36" i="28"/>
  <c r="U36" i="28"/>
  <c r="S36" i="28"/>
  <c r="R36" i="28"/>
  <c r="P36" i="28"/>
  <c r="O36" i="28"/>
  <c r="M36" i="28"/>
  <c r="L36" i="28"/>
  <c r="J36" i="28"/>
  <c r="I36" i="28"/>
  <c r="CM35" i="28"/>
  <c r="CL35" i="28"/>
  <c r="CJ35" i="28"/>
  <c r="CI35" i="28"/>
  <c r="CG35" i="28"/>
  <c r="CF35" i="28"/>
  <c r="CD35" i="28"/>
  <c r="CC35" i="28"/>
  <c r="CA35" i="28"/>
  <c r="BZ35" i="28"/>
  <c r="BX35" i="28"/>
  <c r="BW35" i="28"/>
  <c r="BU35" i="28"/>
  <c r="BT35" i="28"/>
  <c r="BR35" i="28"/>
  <c r="BQ35" i="28"/>
  <c r="BO35" i="28"/>
  <c r="BN35" i="28"/>
  <c r="BL35" i="28"/>
  <c r="BK35" i="28"/>
  <c r="BI35" i="28"/>
  <c r="BH35" i="28"/>
  <c r="BF35" i="28"/>
  <c r="BE35" i="28"/>
  <c r="BC35" i="28"/>
  <c r="BB35" i="28"/>
  <c r="AZ35" i="28"/>
  <c r="AY35" i="28"/>
  <c r="AW35" i="28"/>
  <c r="AV35" i="28"/>
  <c r="AT35" i="28"/>
  <c r="AS35" i="28"/>
  <c r="AQ35" i="28"/>
  <c r="AP35" i="28"/>
  <c r="AN35" i="28"/>
  <c r="AM35" i="28"/>
  <c r="AK35" i="28"/>
  <c r="AJ35" i="28"/>
  <c r="AH35" i="28"/>
  <c r="AG35" i="28"/>
  <c r="AE35" i="28"/>
  <c r="AD35" i="28"/>
  <c r="AB35" i="28"/>
  <c r="AA35" i="28"/>
  <c r="Y35" i="28"/>
  <c r="X35" i="28"/>
  <c r="V35" i="28"/>
  <c r="U35" i="28"/>
  <c r="S35" i="28"/>
  <c r="R35" i="28"/>
  <c r="P35" i="28"/>
  <c r="O35" i="28"/>
  <c r="M35" i="28"/>
  <c r="L35" i="28"/>
  <c r="J35" i="28"/>
  <c r="I35" i="28"/>
  <c r="CL34" i="28"/>
  <c r="CK34" i="28"/>
  <c r="CH34" i="28"/>
  <c r="CE34" i="28"/>
  <c r="CB34" i="28"/>
  <c r="CA34" i="28"/>
  <c r="BY34" i="28"/>
  <c r="BV34" i="28"/>
  <c r="BS34" i="28"/>
  <c r="BR34" i="28"/>
  <c r="BQ34" i="28"/>
  <c r="BP34" i="28"/>
  <c r="BO34" i="28"/>
  <c r="BN34" i="28"/>
  <c r="BL34" i="28"/>
  <c r="BK34" i="28"/>
  <c r="BI34" i="28"/>
  <c r="BH34" i="28"/>
  <c r="BF34" i="28"/>
  <c r="BE34" i="28"/>
  <c r="BC34" i="28"/>
  <c r="BB34" i="28"/>
  <c r="AZ34" i="28"/>
  <c r="AY34" i="28"/>
  <c r="AW34" i="28"/>
  <c r="AV34" i="28"/>
  <c r="AT34" i="28"/>
  <c r="AS34" i="28"/>
  <c r="AQ34" i="28"/>
  <c r="AP34" i="28"/>
  <c r="AN34" i="28"/>
  <c r="AM34" i="28"/>
  <c r="AK34" i="28"/>
  <c r="AJ34" i="28"/>
  <c r="AH34" i="28"/>
  <c r="AG34" i="28"/>
  <c r="AE34" i="28"/>
  <c r="AD34" i="28"/>
  <c r="AB34" i="28"/>
  <c r="AA34" i="28"/>
  <c r="Y34" i="28"/>
  <c r="X34" i="28"/>
  <c r="V34" i="28"/>
  <c r="U34" i="28"/>
  <c r="S34" i="28"/>
  <c r="R34" i="28"/>
  <c r="P34" i="28"/>
  <c r="O34" i="28"/>
  <c r="M34" i="28"/>
  <c r="L34" i="28"/>
  <c r="J34" i="28"/>
  <c r="I34" i="28"/>
  <c r="CM33" i="28"/>
  <c r="CL33" i="28"/>
  <c r="CJ33" i="28"/>
  <c r="CI33" i="28"/>
  <c r="CG33" i="28"/>
  <c r="CF33" i="28"/>
  <c r="CD33" i="28"/>
  <c r="CC33" i="28"/>
  <c r="CA33" i="28"/>
  <c r="BZ33" i="28"/>
  <c r="BX33" i="28"/>
  <c r="BW33" i="28"/>
  <c r="BU33" i="28"/>
  <c r="BT33" i="28"/>
  <c r="BR33" i="28"/>
  <c r="BQ33" i="28"/>
  <c r="BO33" i="28"/>
  <c r="BN33" i="28"/>
  <c r="BL33" i="28"/>
  <c r="BK33" i="28"/>
  <c r="BI33" i="28"/>
  <c r="BH33" i="28"/>
  <c r="BF33" i="28"/>
  <c r="BE33" i="28"/>
  <c r="BC33" i="28"/>
  <c r="BB33" i="28"/>
  <c r="AZ33" i="28"/>
  <c r="AY33" i="28"/>
  <c r="AW33" i="28"/>
  <c r="AV33" i="28"/>
  <c r="AT33" i="28"/>
  <c r="AS33" i="28"/>
  <c r="AQ33" i="28"/>
  <c r="AP33" i="28"/>
  <c r="AN33" i="28"/>
  <c r="AM33" i="28"/>
  <c r="AK33" i="28"/>
  <c r="AJ33" i="28"/>
  <c r="AH33" i="28"/>
  <c r="AG33" i="28"/>
  <c r="AE33" i="28"/>
  <c r="AD33" i="28"/>
  <c r="AB33" i="28"/>
  <c r="AA33" i="28"/>
  <c r="Y33" i="28"/>
  <c r="X33" i="28"/>
  <c r="V33" i="28"/>
  <c r="U33" i="28"/>
  <c r="S33" i="28"/>
  <c r="R33" i="28"/>
  <c r="P33" i="28"/>
  <c r="O33" i="28"/>
  <c r="M33" i="28"/>
  <c r="L33" i="28"/>
  <c r="J33" i="28"/>
  <c r="I33" i="28"/>
  <c r="CM32" i="28"/>
  <c r="CL32" i="28"/>
  <c r="CJ32" i="28"/>
  <c r="CI32" i="28"/>
  <c r="CG32" i="28"/>
  <c r="CF32" i="28"/>
  <c r="CD32" i="28"/>
  <c r="CC32" i="28"/>
  <c r="CA32" i="28"/>
  <c r="BZ32" i="28"/>
  <c r="BX32" i="28"/>
  <c r="BW32" i="28"/>
  <c r="BU32" i="28"/>
  <c r="BT32" i="28"/>
  <c r="BR32" i="28"/>
  <c r="BQ32" i="28"/>
  <c r="BO32" i="28"/>
  <c r="BN32" i="28"/>
  <c r="BL32" i="28"/>
  <c r="BK32" i="28"/>
  <c r="BI32" i="28"/>
  <c r="BH32" i="28"/>
  <c r="BF32" i="28"/>
  <c r="BE32" i="28"/>
  <c r="BC32" i="28"/>
  <c r="BB32" i="28"/>
  <c r="AZ32" i="28"/>
  <c r="AY32" i="28"/>
  <c r="AW32" i="28"/>
  <c r="AV32" i="28"/>
  <c r="AT32" i="28"/>
  <c r="AS32" i="28"/>
  <c r="AQ32" i="28"/>
  <c r="AP32" i="28"/>
  <c r="AN32" i="28"/>
  <c r="AM32" i="28"/>
  <c r="AK32" i="28"/>
  <c r="AJ32" i="28"/>
  <c r="AH32" i="28"/>
  <c r="AG32" i="28"/>
  <c r="AE32" i="28"/>
  <c r="AD32" i="28"/>
  <c r="AB32" i="28"/>
  <c r="AA32" i="28"/>
  <c r="Y32" i="28"/>
  <c r="X32" i="28"/>
  <c r="V32" i="28"/>
  <c r="U32" i="28"/>
  <c r="S32" i="28"/>
  <c r="R32" i="28"/>
  <c r="P32" i="28"/>
  <c r="O32" i="28"/>
  <c r="M32" i="28"/>
  <c r="L32" i="28"/>
  <c r="J32" i="28"/>
  <c r="I32" i="28"/>
  <c r="CK31" i="28"/>
  <c r="CK55" i="28" s="1"/>
  <c r="CH31" i="28"/>
  <c r="CI31" i="28" s="1"/>
  <c r="CE31" i="28"/>
  <c r="CG31" i="28" s="1"/>
  <c r="CB31" i="28"/>
  <c r="BY31" i="28"/>
  <c r="BX31" i="28"/>
  <c r="BV31" i="28"/>
  <c r="CJ31" i="28" s="1"/>
  <c r="BU31" i="28"/>
  <c r="BS31" i="28"/>
  <c r="BP31" i="28"/>
  <c r="BQ31" i="28" s="1"/>
  <c r="BO31" i="28"/>
  <c r="BN31" i="28"/>
  <c r="BL31" i="28"/>
  <c r="BK31" i="28"/>
  <c r="BI31" i="28"/>
  <c r="BH31" i="28"/>
  <c r="BF31" i="28"/>
  <c r="BE31" i="28"/>
  <c r="BC31" i="28"/>
  <c r="BB31" i="28"/>
  <c r="AZ31" i="28"/>
  <c r="AY31" i="28"/>
  <c r="AW31" i="28"/>
  <c r="AV31" i="28"/>
  <c r="AT31" i="28"/>
  <c r="AS31" i="28"/>
  <c r="AQ31" i="28"/>
  <c r="AP31" i="28"/>
  <c r="AN31" i="28"/>
  <c r="AM31" i="28"/>
  <c r="AK31" i="28"/>
  <c r="AJ31" i="28"/>
  <c r="AH31" i="28"/>
  <c r="AG31" i="28"/>
  <c r="AE31" i="28"/>
  <c r="AD31" i="28"/>
  <c r="AB31" i="28"/>
  <c r="AA31" i="28"/>
  <c r="Y31" i="28"/>
  <c r="X31" i="28"/>
  <c r="V31" i="28"/>
  <c r="U31" i="28"/>
  <c r="S31" i="28"/>
  <c r="R31" i="28"/>
  <c r="P31" i="28"/>
  <c r="O31" i="28"/>
  <c r="M31" i="28"/>
  <c r="L31" i="28"/>
  <c r="J31" i="28"/>
  <c r="I31" i="28"/>
  <c r="CM30" i="28"/>
  <c r="CL30" i="28"/>
  <c r="CJ30" i="28"/>
  <c r="CH30" i="28"/>
  <c r="CH46" i="28" s="1"/>
  <c r="CG30" i="28"/>
  <c r="CF30" i="28"/>
  <c r="CD30" i="28"/>
  <c r="CC30" i="28"/>
  <c r="CA30" i="28"/>
  <c r="BZ30" i="28"/>
  <c r="BX30" i="28"/>
  <c r="BW30" i="28"/>
  <c r="BU30" i="28"/>
  <c r="BT30" i="28"/>
  <c r="BR30" i="28"/>
  <c r="BQ30" i="28"/>
  <c r="BO30" i="28"/>
  <c r="BN30" i="28"/>
  <c r="BL30" i="28"/>
  <c r="BK30" i="28"/>
  <c r="BI30" i="28"/>
  <c r="BH30" i="28"/>
  <c r="BF30" i="28"/>
  <c r="BE30" i="28"/>
  <c r="BC30" i="28"/>
  <c r="BB30" i="28"/>
  <c r="AZ30" i="28"/>
  <c r="AY30" i="28"/>
  <c r="AW30" i="28"/>
  <c r="AV30" i="28"/>
  <c r="AT30" i="28"/>
  <c r="AS30" i="28"/>
  <c r="AQ30" i="28"/>
  <c r="AP30" i="28"/>
  <c r="AN30" i="28"/>
  <c r="AM30" i="28"/>
  <c r="AK30" i="28"/>
  <c r="AJ30" i="28"/>
  <c r="AH30" i="28"/>
  <c r="AG30" i="28"/>
  <c r="AE30" i="28"/>
  <c r="AD30" i="28"/>
  <c r="AB30" i="28"/>
  <c r="AA30" i="28"/>
  <c r="Y30" i="28"/>
  <c r="X30" i="28"/>
  <c r="V30" i="28"/>
  <c r="U30" i="28"/>
  <c r="S30" i="28"/>
  <c r="R30" i="28"/>
  <c r="P30" i="28"/>
  <c r="O30" i="28"/>
  <c r="M30" i="28"/>
  <c r="L30" i="28"/>
  <c r="J30" i="28"/>
  <c r="I30" i="28"/>
  <c r="A30" i="28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CM29" i="28"/>
  <c r="CL29" i="28"/>
  <c r="CJ29" i="28"/>
  <c r="CI29" i="28"/>
  <c r="CG29" i="28"/>
  <c r="CF29" i="28"/>
  <c r="CD29" i="28"/>
  <c r="CC29" i="28"/>
  <c r="CA29" i="28"/>
  <c r="BZ29" i="28"/>
  <c r="BX29" i="28"/>
  <c r="BW29" i="28"/>
  <c r="BU29" i="28"/>
  <c r="BT29" i="28"/>
  <c r="BR29" i="28"/>
  <c r="BQ29" i="28"/>
  <c r="BO29" i="28"/>
  <c r="BN29" i="28"/>
  <c r="BL29" i="28"/>
  <c r="BK29" i="28"/>
  <c r="BI29" i="28"/>
  <c r="BH29" i="28"/>
  <c r="BF29" i="28"/>
  <c r="BE29" i="28"/>
  <c r="BC29" i="28"/>
  <c r="BB29" i="28"/>
  <c r="AZ29" i="28"/>
  <c r="AY29" i="28"/>
  <c r="AW29" i="28"/>
  <c r="AV29" i="28"/>
  <c r="AT29" i="28"/>
  <c r="AS29" i="28"/>
  <c r="AQ29" i="28"/>
  <c r="AP29" i="28"/>
  <c r="AN29" i="28"/>
  <c r="AM29" i="28"/>
  <c r="AK29" i="28"/>
  <c r="AJ29" i="28"/>
  <c r="AH29" i="28"/>
  <c r="AG29" i="28"/>
  <c r="AE29" i="28"/>
  <c r="AD29" i="28"/>
  <c r="AB29" i="28"/>
  <c r="AA29" i="28"/>
  <c r="Y29" i="28"/>
  <c r="X29" i="28"/>
  <c r="V29" i="28"/>
  <c r="U29" i="28"/>
  <c r="S29" i="28"/>
  <c r="R29" i="28"/>
  <c r="P29" i="28"/>
  <c r="O29" i="28"/>
  <c r="M29" i="28"/>
  <c r="L29" i="28"/>
  <c r="J29" i="28"/>
  <c r="I29" i="28"/>
  <c r="A29" i="28"/>
  <c r="CK28" i="28"/>
  <c r="CI28" i="28"/>
  <c r="CH28" i="28"/>
  <c r="CG28" i="28"/>
  <c r="CE28" i="28"/>
  <c r="CC28" i="28"/>
  <c r="CB28" i="28"/>
  <c r="BY28" i="28"/>
  <c r="CA28" i="28" s="1"/>
  <c r="BX28" i="28"/>
  <c r="BV28" i="28"/>
  <c r="BW28" i="28" s="1"/>
  <c r="BU28" i="28"/>
  <c r="BT28" i="28"/>
  <c r="BS28" i="28"/>
  <c r="BR28" i="28"/>
  <c r="BQ28" i="28"/>
  <c r="BP28" i="28"/>
  <c r="BO28" i="28"/>
  <c r="BN28" i="28"/>
  <c r="BL28" i="28"/>
  <c r="BK28" i="28"/>
  <c r="BI28" i="28"/>
  <c r="BH28" i="28"/>
  <c r="BF28" i="28"/>
  <c r="BE28" i="28"/>
  <c r="BC28" i="28"/>
  <c r="BB28" i="28"/>
  <c r="AZ28" i="28"/>
  <c r="AY28" i="28"/>
  <c r="AW28" i="28"/>
  <c r="AV28" i="28"/>
  <c r="AT28" i="28"/>
  <c r="AS28" i="28"/>
  <c r="AQ28" i="28"/>
  <c r="AP28" i="28"/>
  <c r="AN28" i="28"/>
  <c r="AM28" i="28"/>
  <c r="AK28" i="28"/>
  <c r="AJ28" i="28"/>
  <c r="AH28" i="28"/>
  <c r="AG28" i="28"/>
  <c r="AE28" i="28"/>
  <c r="AD28" i="28"/>
  <c r="AB28" i="28"/>
  <c r="AA28" i="28"/>
  <c r="Y28" i="28"/>
  <c r="X28" i="28"/>
  <c r="V28" i="28"/>
  <c r="U28" i="28"/>
  <c r="S28" i="28"/>
  <c r="R28" i="28"/>
  <c r="P28" i="28"/>
  <c r="O28" i="28"/>
  <c r="M28" i="28"/>
  <c r="L28" i="28"/>
  <c r="J28" i="28"/>
  <c r="I28" i="28"/>
  <c r="A28" i="28"/>
  <c r="CM27" i="28"/>
  <c r="CL27" i="28"/>
  <c r="CK27" i="28"/>
  <c r="CK51" i="28" s="1"/>
  <c r="CJ27" i="28"/>
  <c r="CI27" i="28"/>
  <c r="CH27" i="28"/>
  <c r="CH51" i="28" s="1"/>
  <c r="CG27" i="28"/>
  <c r="CF27" i="28"/>
  <c r="CE27" i="28"/>
  <c r="CD27" i="28"/>
  <c r="CC27" i="28"/>
  <c r="CB27" i="28"/>
  <c r="CA27" i="28"/>
  <c r="BZ27" i="28"/>
  <c r="BY27" i="28"/>
  <c r="BX27" i="28"/>
  <c r="BW27" i="28"/>
  <c r="BV27" i="28"/>
  <c r="BV51" i="28" s="1"/>
  <c r="BU27" i="28"/>
  <c r="BT27" i="28"/>
  <c r="BS27" i="28"/>
  <c r="BS51" i="28" s="1"/>
  <c r="BR27" i="28"/>
  <c r="BQ27" i="28"/>
  <c r="BP27" i="28"/>
  <c r="BP51" i="28" s="1"/>
  <c r="BO27" i="28"/>
  <c r="BN27" i="28"/>
  <c r="BM27" i="28"/>
  <c r="BM51" i="28" s="1"/>
  <c r="BL27" i="28"/>
  <c r="BK27" i="28"/>
  <c r="BJ27" i="28"/>
  <c r="BJ51" i="28" s="1"/>
  <c r="BI27" i="28"/>
  <c r="BH27" i="28"/>
  <c r="BG27" i="28"/>
  <c r="BF27" i="28"/>
  <c r="BE27" i="28"/>
  <c r="BD27" i="28"/>
  <c r="BD51" i="28" s="1"/>
  <c r="BC27" i="28"/>
  <c r="BB27" i="28"/>
  <c r="BA27" i="28"/>
  <c r="AZ27" i="28"/>
  <c r="AY27" i="28"/>
  <c r="AX27" i="28"/>
  <c r="AX51" i="28" s="1"/>
  <c r="AW27" i="28"/>
  <c r="AV27" i="28"/>
  <c r="AU27" i="28"/>
  <c r="AU51" i="28" s="1"/>
  <c r="AT27" i="28"/>
  <c r="AS27" i="28"/>
  <c r="AR27" i="28"/>
  <c r="AR51" i="28" s="1"/>
  <c r="AQ27" i="28"/>
  <c r="AP27" i="28"/>
  <c r="AO27" i="28"/>
  <c r="AO51" i="28" s="1"/>
  <c r="AN27" i="28"/>
  <c r="AM27" i="28"/>
  <c r="AL27" i="28"/>
  <c r="AL51" i="28" s="1"/>
  <c r="AK27" i="28"/>
  <c r="AJ27" i="28"/>
  <c r="AI27" i="28"/>
  <c r="AH27" i="28"/>
  <c r="AG27" i="28"/>
  <c r="AF27" i="28"/>
  <c r="AE27" i="28"/>
  <c r="AD27" i="28"/>
  <c r="AC27" i="28"/>
  <c r="AB27" i="28"/>
  <c r="AA27" i="28"/>
  <c r="Z27" i="28"/>
  <c r="Z51" i="28" s="1"/>
  <c r="Y27" i="28"/>
  <c r="X27" i="28"/>
  <c r="W27" i="28"/>
  <c r="W51" i="28" s="1"/>
  <c r="V27" i="28"/>
  <c r="U27" i="28"/>
  <c r="T27" i="28"/>
  <c r="T51" i="28" s="1"/>
  <c r="S27" i="28"/>
  <c r="R27" i="28"/>
  <c r="Q27" i="28"/>
  <c r="Q51" i="28" s="1"/>
  <c r="P27" i="28"/>
  <c r="O27" i="28"/>
  <c r="N27" i="28"/>
  <c r="N51" i="28" s="1"/>
  <c r="M27" i="28"/>
  <c r="L27" i="28"/>
  <c r="K27" i="28"/>
  <c r="J27" i="28"/>
  <c r="I27" i="28"/>
  <c r="H27" i="28"/>
  <c r="H51" i="28" s="1"/>
  <c r="G27" i="28"/>
  <c r="G51" i="28" s="1"/>
  <c r="F27" i="28"/>
  <c r="F51" i="28" s="1"/>
  <c r="E27" i="28"/>
  <c r="D27" i="28"/>
  <c r="D51" i="28" s="1"/>
  <c r="BM24" i="28"/>
  <c r="BJ24" i="28"/>
  <c r="BG24" i="28"/>
  <c r="BD24" i="28"/>
  <c r="BA24" i="28"/>
  <c r="AX24" i="28"/>
  <c r="AU24" i="28"/>
  <c r="AR24" i="28"/>
  <c r="AO24" i="28"/>
  <c r="AL24" i="28"/>
  <c r="AI24" i="28"/>
  <c r="AF24" i="28"/>
  <c r="AC24" i="28"/>
  <c r="Z24" i="28"/>
  <c r="W24" i="28"/>
  <c r="T24" i="28"/>
  <c r="Q24" i="28"/>
  <c r="N24" i="28"/>
  <c r="K24" i="28"/>
  <c r="H24" i="28"/>
  <c r="G24" i="28"/>
  <c r="F24" i="28"/>
  <c r="E24" i="28"/>
  <c r="D24" i="28"/>
  <c r="CK23" i="28"/>
  <c r="CK24" i="28" s="1"/>
  <c r="BO23" i="28"/>
  <c r="BN23" i="28"/>
  <c r="BL23" i="28"/>
  <c r="BK23" i="28"/>
  <c r="BI23" i="28"/>
  <c r="BH23" i="28"/>
  <c r="BF23" i="28"/>
  <c r="BE23" i="28"/>
  <c r="BC23" i="28"/>
  <c r="BB23" i="28"/>
  <c r="AZ23" i="28"/>
  <c r="AY23" i="28"/>
  <c r="AW23" i="28"/>
  <c r="AV23" i="28"/>
  <c r="AT23" i="28"/>
  <c r="AS23" i="28"/>
  <c r="AQ23" i="28"/>
  <c r="AP23" i="28"/>
  <c r="AN23" i="28"/>
  <c r="AM23" i="28"/>
  <c r="AK23" i="28"/>
  <c r="AJ23" i="28"/>
  <c r="AH23" i="28"/>
  <c r="AG23" i="28"/>
  <c r="AE23" i="28"/>
  <c r="AD23" i="28"/>
  <c r="AB23" i="28"/>
  <c r="AA23" i="28"/>
  <c r="Y23" i="28"/>
  <c r="X23" i="28"/>
  <c r="V23" i="28"/>
  <c r="U23" i="28"/>
  <c r="S23" i="28"/>
  <c r="R23" i="28"/>
  <c r="P23" i="28"/>
  <c r="O23" i="28"/>
  <c r="M23" i="28"/>
  <c r="L23" i="28"/>
  <c r="J23" i="28"/>
  <c r="I23" i="28"/>
  <c r="CM22" i="28"/>
  <c r="CL22" i="28"/>
  <c r="CJ22" i="28"/>
  <c r="CI22" i="28"/>
  <c r="CG22" i="28"/>
  <c r="CF22" i="28"/>
  <c r="CD22" i="28"/>
  <c r="CC22" i="28"/>
  <c r="CA22" i="28"/>
  <c r="BZ22" i="28"/>
  <c r="BX22" i="28"/>
  <c r="BW22" i="28"/>
  <c r="BU22" i="28"/>
  <c r="BT22" i="28"/>
  <c r="BR22" i="28"/>
  <c r="BQ22" i="28"/>
  <c r="BO22" i="28"/>
  <c r="BN22" i="28"/>
  <c r="BL22" i="28"/>
  <c r="BK22" i="28"/>
  <c r="BI22" i="28"/>
  <c r="BH22" i="28"/>
  <c r="BF22" i="28"/>
  <c r="BE22" i="28"/>
  <c r="BC22" i="28"/>
  <c r="BB22" i="28"/>
  <c r="AZ22" i="28"/>
  <c r="AY22" i="28"/>
  <c r="AW22" i="28"/>
  <c r="AV22" i="28"/>
  <c r="AT22" i="28"/>
  <c r="AS22" i="28"/>
  <c r="AQ22" i="28"/>
  <c r="AP22" i="28"/>
  <c r="AN22" i="28"/>
  <c r="AM22" i="28"/>
  <c r="AK22" i="28"/>
  <c r="AJ22" i="28"/>
  <c r="AH22" i="28"/>
  <c r="AG22" i="28"/>
  <c r="AE22" i="28"/>
  <c r="AD22" i="28"/>
  <c r="AB22" i="28"/>
  <c r="AA22" i="28"/>
  <c r="Y22" i="28"/>
  <c r="X22" i="28"/>
  <c r="V22" i="28"/>
  <c r="U22" i="28"/>
  <c r="S22" i="28"/>
  <c r="R22" i="28"/>
  <c r="P22" i="28"/>
  <c r="O22" i="28"/>
  <c r="M22" i="28"/>
  <c r="L22" i="28"/>
  <c r="J22" i="28"/>
  <c r="I22" i="28"/>
  <c r="CK21" i="28"/>
  <c r="AO20" i="28"/>
  <c r="Q20" i="28"/>
  <c r="CM19" i="28"/>
  <c r="CL19" i="28"/>
  <c r="CK19" i="28"/>
  <c r="CJ19" i="28"/>
  <c r="CI19" i="28"/>
  <c r="CG19" i="28"/>
  <c r="CF19" i="28"/>
  <c r="CD19" i="28"/>
  <c r="CC19" i="28"/>
  <c r="CA19" i="28"/>
  <c r="BZ19" i="28"/>
  <c r="BX19" i="28"/>
  <c r="BW19" i="28"/>
  <c r="BU19" i="28"/>
  <c r="BT19" i="28"/>
  <c r="BR19" i="28"/>
  <c r="BQ19" i="28"/>
  <c r="CK18" i="28"/>
  <c r="AS18" i="28"/>
  <c r="AR18" i="28"/>
  <c r="AD18" i="28"/>
  <c r="E18" i="28"/>
  <c r="E20" i="28" s="1"/>
  <c r="E21" i="28" s="1"/>
  <c r="CM17" i="28"/>
  <c r="CL17" i="28"/>
  <c r="CJ17" i="28"/>
  <c r="CI17" i="28"/>
  <c r="CG17" i="28"/>
  <c r="CF17" i="28"/>
  <c r="CD17" i="28"/>
  <c r="CC17" i="28"/>
  <c r="CA17" i="28"/>
  <c r="BZ17" i="28"/>
  <c r="BX17" i="28"/>
  <c r="BW17" i="28"/>
  <c r="BU17" i="28"/>
  <c r="BT17" i="28"/>
  <c r="BR17" i="28"/>
  <c r="BQ17" i="28"/>
  <c r="BO17" i="28"/>
  <c r="BN17" i="28"/>
  <c r="BL17" i="28"/>
  <c r="BK17" i="28"/>
  <c r="BI17" i="28"/>
  <c r="BH17" i="28"/>
  <c r="BF17" i="28"/>
  <c r="BE17" i="28"/>
  <c r="BC17" i="28"/>
  <c r="BB17" i="28"/>
  <c r="AZ17" i="28"/>
  <c r="AY17" i="28"/>
  <c r="AW17" i="28"/>
  <c r="AV17" i="28"/>
  <c r="AT17" i="28"/>
  <c r="AS17" i="28"/>
  <c r="AQ17" i="28"/>
  <c r="AP17" i="28"/>
  <c r="AN17" i="28"/>
  <c r="AM17" i="28"/>
  <c r="AK17" i="28"/>
  <c r="AJ17" i="28"/>
  <c r="AH17" i="28"/>
  <c r="AG17" i="28"/>
  <c r="AE17" i="28"/>
  <c r="AD17" i="28"/>
  <c r="AB17" i="28"/>
  <c r="AA17" i="28"/>
  <c r="Y17" i="28"/>
  <c r="X17" i="28"/>
  <c r="V17" i="28"/>
  <c r="U17" i="28"/>
  <c r="S17" i="28"/>
  <c r="R17" i="28"/>
  <c r="P17" i="28"/>
  <c r="O17" i="28"/>
  <c r="M17" i="28"/>
  <c r="L17" i="28"/>
  <c r="J17" i="28"/>
  <c r="I17" i="28"/>
  <c r="CM16" i="28"/>
  <c r="CL16" i="28"/>
  <c r="CJ16" i="28"/>
  <c r="CI16" i="28"/>
  <c r="CG16" i="28"/>
  <c r="CF16" i="28"/>
  <c r="CD16" i="28"/>
  <c r="CC16" i="28"/>
  <c r="CA16" i="28"/>
  <c r="BZ16" i="28"/>
  <c r="BX16" i="28"/>
  <c r="BW16" i="28"/>
  <c r="BU16" i="28"/>
  <c r="BT16" i="28"/>
  <c r="BR16" i="28"/>
  <c r="BQ16" i="28"/>
  <c r="BO16" i="28"/>
  <c r="BN16" i="28"/>
  <c r="BL16" i="28"/>
  <c r="BK16" i="28"/>
  <c r="BI16" i="28"/>
  <c r="BH16" i="28"/>
  <c r="BF16" i="28"/>
  <c r="BE16" i="28"/>
  <c r="BC16" i="28"/>
  <c r="BB16" i="28"/>
  <c r="AZ16" i="28"/>
  <c r="AY16" i="28"/>
  <c r="AW16" i="28"/>
  <c r="AV16" i="28"/>
  <c r="AT16" i="28"/>
  <c r="AS16" i="28"/>
  <c r="AQ16" i="28"/>
  <c r="AP16" i="28"/>
  <c r="AN16" i="28"/>
  <c r="AM16" i="28"/>
  <c r="AK16" i="28"/>
  <c r="AJ16" i="28"/>
  <c r="AH16" i="28"/>
  <c r="AG16" i="28"/>
  <c r="AE16" i="28"/>
  <c r="AD16" i="28"/>
  <c r="AB16" i="28"/>
  <c r="AA16" i="28"/>
  <c r="Y16" i="28"/>
  <c r="X16" i="28"/>
  <c r="V16" i="28"/>
  <c r="U16" i="28"/>
  <c r="S16" i="28"/>
  <c r="R16" i="28"/>
  <c r="P16" i="28"/>
  <c r="O16" i="28"/>
  <c r="M16" i="28"/>
  <c r="L16" i="28"/>
  <c r="J16" i="28"/>
  <c r="I16" i="28"/>
  <c r="CM15" i="28"/>
  <c r="CL15" i="28"/>
  <c r="CJ15" i="28"/>
  <c r="CI15" i="28"/>
  <c r="CG15" i="28"/>
  <c r="CF15" i="28"/>
  <c r="CD15" i="28"/>
  <c r="CC15" i="28"/>
  <c r="CA15" i="28"/>
  <c r="BZ15" i="28"/>
  <c r="BX15" i="28"/>
  <c r="BW15" i="28"/>
  <c r="BU15" i="28"/>
  <c r="BT15" i="28"/>
  <c r="BR15" i="28"/>
  <c r="BQ15" i="28"/>
  <c r="BO15" i="28"/>
  <c r="BN15" i="28"/>
  <c r="BL15" i="28"/>
  <c r="BK15" i="28"/>
  <c r="BI15" i="28"/>
  <c r="BH15" i="28"/>
  <c r="BF15" i="28"/>
  <c r="BE15" i="28"/>
  <c r="BC15" i="28"/>
  <c r="BB15" i="28"/>
  <c r="AZ15" i="28"/>
  <c r="AY15" i="28"/>
  <c r="AW15" i="28"/>
  <c r="AV15" i="28"/>
  <c r="AT15" i="28"/>
  <c r="AS15" i="28"/>
  <c r="AQ15" i="28"/>
  <c r="AP15" i="28"/>
  <c r="AN15" i="28"/>
  <c r="AM15" i="28"/>
  <c r="AK15" i="28"/>
  <c r="AJ15" i="28"/>
  <c r="AH15" i="28"/>
  <c r="AG15" i="28"/>
  <c r="AE15" i="28"/>
  <c r="AD15" i="28"/>
  <c r="AB15" i="28"/>
  <c r="AA15" i="28"/>
  <c r="Y15" i="28"/>
  <c r="X15" i="28"/>
  <c r="V15" i="28"/>
  <c r="U15" i="28"/>
  <c r="S15" i="28"/>
  <c r="R15" i="28"/>
  <c r="P15" i="28"/>
  <c r="O15" i="28"/>
  <c r="M15" i="28"/>
  <c r="L15" i="28"/>
  <c r="J15" i="28"/>
  <c r="I15" i="28"/>
  <c r="CM14" i="28"/>
  <c r="CL14" i="28"/>
  <c r="CJ14" i="28"/>
  <c r="CI14" i="28"/>
  <c r="CG14" i="28"/>
  <c r="CF14" i="28"/>
  <c r="CD14" i="28"/>
  <c r="CC14" i="28"/>
  <c r="CA14" i="28"/>
  <c r="BZ14" i="28"/>
  <c r="BX14" i="28"/>
  <c r="BW14" i="28"/>
  <c r="BU14" i="28"/>
  <c r="BT14" i="28"/>
  <c r="BR14" i="28"/>
  <c r="BQ14" i="28"/>
  <c r="BO14" i="28"/>
  <c r="BN14" i="28"/>
  <c r="BL14" i="28"/>
  <c r="BK14" i="28"/>
  <c r="BI14" i="28"/>
  <c r="BH14" i="28"/>
  <c r="BF14" i="28"/>
  <c r="BE14" i="28"/>
  <c r="BC14" i="28"/>
  <c r="BB14" i="28"/>
  <c r="AZ14" i="28"/>
  <c r="AY14" i="28"/>
  <c r="AW14" i="28"/>
  <c r="AV14" i="28"/>
  <c r="AT14" i="28"/>
  <c r="AS14" i="28"/>
  <c r="AQ14" i="28"/>
  <c r="AP14" i="28"/>
  <c r="AN14" i="28"/>
  <c r="AM14" i="28"/>
  <c r="AK14" i="28"/>
  <c r="AJ14" i="28"/>
  <c r="AH14" i="28"/>
  <c r="AG14" i="28"/>
  <c r="AE14" i="28"/>
  <c r="AD14" i="28"/>
  <c r="AB14" i="28"/>
  <c r="AA14" i="28"/>
  <c r="Y14" i="28"/>
  <c r="X14" i="28"/>
  <c r="V14" i="28"/>
  <c r="U14" i="28"/>
  <c r="S14" i="28"/>
  <c r="R14" i="28"/>
  <c r="P14" i="28"/>
  <c r="O14" i="28"/>
  <c r="M14" i="28"/>
  <c r="L14" i="28"/>
  <c r="J14" i="28"/>
  <c r="I14" i="28"/>
  <c r="CL13" i="28"/>
  <c r="CI13" i="28"/>
  <c r="CK12" i="28"/>
  <c r="CH12" i="28"/>
  <c r="BJ12" i="28"/>
  <c r="CH11" i="28"/>
  <c r="BY11" i="28"/>
  <c r="BX11" i="28"/>
  <c r="BP11" i="28"/>
  <c r="BO11" i="28"/>
  <c r="BJ11" i="28"/>
  <c r="BL11" i="28" s="1"/>
  <c r="BG11" i="28"/>
  <c r="BA11" i="28"/>
  <c r="BA12" i="28" s="1"/>
  <c r="AX11" i="28"/>
  <c r="AR11" i="28"/>
  <c r="Z11" i="28"/>
  <c r="Z18" i="28" s="1"/>
  <c r="U11" i="28"/>
  <c r="N11" i="28"/>
  <c r="N18" i="28" s="1"/>
  <c r="E11" i="28"/>
  <c r="E12" i="28" s="1"/>
  <c r="D11" i="28"/>
  <c r="CH10" i="28"/>
  <c r="CE10" i="28"/>
  <c r="CB10" i="28"/>
  <c r="BY10" i="28"/>
  <c r="BV10" i="28"/>
  <c r="BS10" i="28"/>
  <c r="BP10" i="28"/>
  <c r="BM10" i="28"/>
  <c r="BJ10" i="28"/>
  <c r="BG10" i="28"/>
  <c r="BD10" i="28"/>
  <c r="BA10" i="28"/>
  <c r="AX10" i="28"/>
  <c r="AU10" i="28"/>
  <c r="AR10" i="28"/>
  <c r="AO10" i="28"/>
  <c r="AL10" i="28"/>
  <c r="AI10" i="28"/>
  <c r="AF10" i="28"/>
  <c r="AC10" i="28"/>
  <c r="Z10" i="28"/>
  <c r="W10" i="28"/>
  <c r="T10" i="28"/>
  <c r="Q10" i="28"/>
  <c r="N10" i="28"/>
  <c r="K10" i="28"/>
  <c r="H10" i="28"/>
  <c r="G10" i="28"/>
  <c r="F10" i="28"/>
  <c r="E10" i="28"/>
  <c r="D10" i="28"/>
  <c r="CK9" i="28"/>
  <c r="CK10" i="28" s="1"/>
  <c r="CJ9" i="28"/>
  <c r="CI9" i="28"/>
  <c r="CG9" i="28"/>
  <c r="CF9" i="28"/>
  <c r="CD9" i="28"/>
  <c r="CC9" i="28"/>
  <c r="CA9" i="28"/>
  <c r="BZ9" i="28"/>
  <c r="BX9" i="28"/>
  <c r="BW9" i="28"/>
  <c r="BU9" i="28"/>
  <c r="BT9" i="28"/>
  <c r="BR9" i="28"/>
  <c r="BQ9" i="28"/>
  <c r="BO9" i="28"/>
  <c r="BN9" i="28"/>
  <c r="BL9" i="28"/>
  <c r="BK9" i="28"/>
  <c r="BI9" i="28"/>
  <c r="BH9" i="28"/>
  <c r="BF9" i="28"/>
  <c r="BE9" i="28"/>
  <c r="BC9" i="28"/>
  <c r="BB9" i="28"/>
  <c r="AZ9" i="28"/>
  <c r="AY9" i="28"/>
  <c r="AW9" i="28"/>
  <c r="AV9" i="28"/>
  <c r="AT9" i="28"/>
  <c r="AS9" i="28"/>
  <c r="AQ9" i="28"/>
  <c r="AP9" i="28"/>
  <c r="AN9" i="28"/>
  <c r="AM9" i="28"/>
  <c r="AK9" i="28"/>
  <c r="AJ9" i="28"/>
  <c r="AH9" i="28"/>
  <c r="AG9" i="28"/>
  <c r="AE9" i="28"/>
  <c r="AD9" i="28"/>
  <c r="AB9" i="28"/>
  <c r="AA9" i="28"/>
  <c r="Y9" i="28"/>
  <c r="X9" i="28"/>
  <c r="V9" i="28"/>
  <c r="U9" i="28"/>
  <c r="S9" i="28"/>
  <c r="R9" i="28"/>
  <c r="P9" i="28"/>
  <c r="O9" i="28"/>
  <c r="M9" i="28"/>
  <c r="L9" i="28"/>
  <c r="J9" i="28"/>
  <c r="I9" i="28"/>
  <c r="CK8" i="28"/>
  <c r="CE8" i="28"/>
  <c r="BY8" i="28"/>
  <c r="BV8" i="28"/>
  <c r="BG8" i="28"/>
  <c r="BA8" i="28"/>
  <c r="AX8" i="28"/>
  <c r="AI8" i="28"/>
  <c r="AC8" i="28"/>
  <c r="Z8" i="28"/>
  <c r="K8" i="28"/>
  <c r="H8" i="28"/>
  <c r="G8" i="28"/>
  <c r="CM7" i="28"/>
  <c r="CL7" i="28"/>
  <c r="CJ7" i="28"/>
  <c r="CI7" i="28"/>
  <c r="CH7" i="28"/>
  <c r="CH8" i="28" s="1"/>
  <c r="CE7" i="28"/>
  <c r="CE11" i="28" s="1"/>
  <c r="CE23" i="28" s="1"/>
  <c r="CB7" i="28"/>
  <c r="CA7" i="28"/>
  <c r="BZ7" i="28"/>
  <c r="BY7" i="28"/>
  <c r="BV7" i="28"/>
  <c r="BV11" i="28" s="1"/>
  <c r="BT7" i="28"/>
  <c r="BS7" i="28"/>
  <c r="BP7" i="28"/>
  <c r="BQ7" i="28" s="1"/>
  <c r="BM7" i="28"/>
  <c r="BM11" i="28" s="1"/>
  <c r="BM18" i="28" s="1"/>
  <c r="BL7" i="28"/>
  <c r="BK7" i="28"/>
  <c r="BJ7" i="28"/>
  <c r="BJ8" i="28" s="1"/>
  <c r="BG7" i="28"/>
  <c r="BD7" i="28"/>
  <c r="BD8" i="28" s="1"/>
  <c r="BC7" i="28"/>
  <c r="BB7" i="28"/>
  <c r="BA7" i="28"/>
  <c r="AX7" i="28"/>
  <c r="AZ7" i="28" s="1"/>
  <c r="AU7" i="28"/>
  <c r="AR7" i="28"/>
  <c r="AS7" i="28" s="1"/>
  <c r="AO7" i="28"/>
  <c r="AO11" i="28" s="1"/>
  <c r="AO18" i="28" s="1"/>
  <c r="AN7" i="28"/>
  <c r="AM7" i="28"/>
  <c r="AL7" i="28"/>
  <c r="AL11" i="28" s="1"/>
  <c r="AI7" i="28"/>
  <c r="AK7" i="28" s="1"/>
  <c r="AF7" i="28"/>
  <c r="AE7" i="28"/>
  <c r="AD7" i="28"/>
  <c r="AC7" i="28"/>
  <c r="AC11" i="28" s="1"/>
  <c r="AC18" i="28" s="1"/>
  <c r="AC20" i="28" s="1"/>
  <c r="Z7" i="28"/>
  <c r="AB7" i="28" s="1"/>
  <c r="W7" i="28"/>
  <c r="T7" i="28"/>
  <c r="T11" i="28" s="1"/>
  <c r="T12" i="28" s="1"/>
  <c r="Q7" i="28"/>
  <c r="Q11" i="28" s="1"/>
  <c r="Q18" i="28" s="1"/>
  <c r="P7" i="28"/>
  <c r="O7" i="28"/>
  <c r="N7" i="28"/>
  <c r="N8" i="28" s="1"/>
  <c r="K7" i="28"/>
  <c r="K11" i="28" s="1"/>
  <c r="M11" i="28" s="1"/>
  <c r="H7" i="28"/>
  <c r="G7" i="28"/>
  <c r="G11" i="28" s="1"/>
  <c r="G18" i="28" s="1"/>
  <c r="G20" i="28" s="1"/>
  <c r="G21" i="28" s="1"/>
  <c r="F7" i="28"/>
  <c r="F8" i="28" s="1"/>
  <c r="E7" i="28"/>
  <c r="E8" i="28" s="1"/>
  <c r="D7" i="28"/>
  <c r="D8" i="28" s="1"/>
  <c r="CH6" i="28"/>
  <c r="CE6" i="28"/>
  <c r="CB6" i="28"/>
  <c r="BY6" i="28"/>
  <c r="BV6" i="28"/>
  <c r="BS6" i="28"/>
  <c r="BP6" i="28"/>
  <c r="BM6" i="28"/>
  <c r="BJ6" i="28"/>
  <c r="BG6" i="28"/>
  <c r="BD6" i="28"/>
  <c r="BA6" i="28"/>
  <c r="AX6" i="28"/>
  <c r="AU6" i="28"/>
  <c r="AR6" i="28"/>
  <c r="AO6" i="28"/>
  <c r="AL6" i="28"/>
  <c r="AI6" i="28"/>
  <c r="AF6" i="28"/>
  <c r="AC6" i="28"/>
  <c r="Z6" i="28"/>
  <c r="W6" i="28"/>
  <c r="T6" i="28"/>
  <c r="Q6" i="28"/>
  <c r="N6" i="28"/>
  <c r="K6" i="28"/>
  <c r="H6" i="28"/>
  <c r="G6" i="28"/>
  <c r="F6" i="28"/>
  <c r="E6" i="28"/>
  <c r="D6" i="28"/>
  <c r="CL5" i="28"/>
  <c r="CK5" i="28"/>
  <c r="CJ5" i="28"/>
  <c r="CI5" i="28"/>
  <c r="CG5" i="28"/>
  <c r="CF5" i="28"/>
  <c r="CD5" i="28"/>
  <c r="CC5" i="28"/>
  <c r="CA5" i="28"/>
  <c r="BZ5" i="28"/>
  <c r="BX5" i="28"/>
  <c r="BW5" i="28"/>
  <c r="BU5" i="28"/>
  <c r="BT5" i="28"/>
  <c r="BR5" i="28"/>
  <c r="BQ5" i="28"/>
  <c r="BO5" i="28"/>
  <c r="BN5" i="28"/>
  <c r="BL5" i="28"/>
  <c r="BK5" i="28"/>
  <c r="BI5" i="28"/>
  <c r="BH5" i="28"/>
  <c r="BF5" i="28"/>
  <c r="BE5" i="28"/>
  <c r="BC5" i="28"/>
  <c r="BB5" i="28"/>
  <c r="AZ5" i="28"/>
  <c r="AY5" i="28"/>
  <c r="AW5" i="28"/>
  <c r="AV5" i="28"/>
  <c r="AT5" i="28"/>
  <c r="AS5" i="28"/>
  <c r="AQ5" i="28"/>
  <c r="AP5" i="28"/>
  <c r="AN5" i="28"/>
  <c r="AM5" i="28"/>
  <c r="AK5" i="28"/>
  <c r="AJ5" i="28"/>
  <c r="AH5" i="28"/>
  <c r="AG5" i="28"/>
  <c r="AE5" i="28"/>
  <c r="AD5" i="28"/>
  <c r="AB5" i="28"/>
  <c r="AA5" i="28"/>
  <c r="Y5" i="28"/>
  <c r="X5" i="28"/>
  <c r="V5" i="28"/>
  <c r="U5" i="28"/>
  <c r="S5" i="28"/>
  <c r="R5" i="28"/>
  <c r="P5" i="28"/>
  <c r="O5" i="28"/>
  <c r="M5" i="28"/>
  <c r="L5" i="28"/>
  <c r="J5" i="28"/>
  <c r="I5" i="28"/>
  <c r="CM4" i="28"/>
  <c r="CL4" i="28"/>
  <c r="CJ4" i="28"/>
  <c r="CI4" i="28"/>
  <c r="CG4" i="28"/>
  <c r="CF4" i="28"/>
  <c r="CD4" i="28"/>
  <c r="CC4" i="28"/>
  <c r="CA4" i="28"/>
  <c r="BZ4" i="28"/>
  <c r="BX4" i="28"/>
  <c r="BW4" i="28"/>
  <c r="BU4" i="28"/>
  <c r="BT4" i="28"/>
  <c r="BR4" i="28"/>
  <c r="BQ4" i="28"/>
  <c r="BO4" i="28"/>
  <c r="BN4" i="28"/>
  <c r="BL4" i="28"/>
  <c r="BK4" i="28"/>
  <c r="BI4" i="28"/>
  <c r="BH4" i="28"/>
  <c r="BF4" i="28"/>
  <c r="BE4" i="28"/>
  <c r="BC4" i="28"/>
  <c r="BB4" i="28"/>
  <c r="AZ4" i="28"/>
  <c r="AY4" i="28"/>
  <c r="AW4" i="28"/>
  <c r="AV4" i="28"/>
  <c r="AT4" i="28"/>
  <c r="AS4" i="28"/>
  <c r="AQ4" i="28"/>
  <c r="AP4" i="28"/>
  <c r="AN4" i="28"/>
  <c r="AM4" i="28"/>
  <c r="AK4" i="28"/>
  <c r="AJ4" i="28"/>
  <c r="AH4" i="28"/>
  <c r="AG4" i="28"/>
  <c r="AE4" i="28"/>
  <c r="AD4" i="28"/>
  <c r="AB4" i="28"/>
  <c r="AA4" i="28"/>
  <c r="Y4" i="28"/>
  <c r="X4" i="28"/>
  <c r="V4" i="28"/>
  <c r="U4" i="28"/>
  <c r="S4" i="28"/>
  <c r="R4" i="28"/>
  <c r="P4" i="28"/>
  <c r="M4" i="28"/>
  <c r="L4" i="28"/>
  <c r="J4" i="28"/>
  <c r="I4" i="28"/>
  <c r="A4" i="28"/>
  <c r="A5" i="28" s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C3" i="27" l="1"/>
  <c r="AB36" i="27"/>
  <c r="Y3" i="27"/>
  <c r="X36" i="27"/>
  <c r="BO5" i="10"/>
  <c r="BO10" i="10"/>
  <c r="BN10" i="10"/>
  <c r="BQ21" i="10"/>
  <c r="BN15" i="10"/>
  <c r="BN21" i="10"/>
  <c r="BN23" i="10"/>
  <c r="BN29" i="10"/>
  <c r="BN31" i="10"/>
  <c r="BQ15" i="10"/>
  <c r="BQ23" i="10"/>
  <c r="BQ31" i="10"/>
  <c r="BO15" i="10"/>
  <c r="BO23" i="10"/>
  <c r="X31" i="29"/>
  <c r="X46" i="29"/>
  <c r="X45" i="29"/>
  <c r="X37" i="29"/>
  <c r="T23" i="29"/>
  <c r="V28" i="29"/>
  <c r="X33" i="29"/>
  <c r="V34" i="29"/>
  <c r="X39" i="29"/>
  <c r="X47" i="29"/>
  <c r="T5" i="29"/>
  <c r="X11" i="29"/>
  <c r="V16" i="29"/>
  <c r="X43" i="29"/>
  <c r="V23" i="29"/>
  <c r="V4" i="29"/>
  <c r="X29" i="29"/>
  <c r="X35" i="29"/>
  <c r="R4" i="29"/>
  <c r="X23" i="29"/>
  <c r="X30" i="29"/>
  <c r="CE24" i="28"/>
  <c r="AU11" i="28"/>
  <c r="AU8" i="28"/>
  <c r="AY7" i="28"/>
  <c r="AW7" i="28"/>
  <c r="AT7" i="28"/>
  <c r="AF11" i="28"/>
  <c r="AG7" i="28"/>
  <c r="AH7" i="28"/>
  <c r="AV7" i="28"/>
  <c r="D18" i="28"/>
  <c r="D20" i="28" s="1"/>
  <c r="D21" i="28" s="1"/>
  <c r="D12" i="28"/>
  <c r="AD11" i="28"/>
  <c r="CH23" i="28"/>
  <c r="CL11" i="28"/>
  <c r="CI11" i="28"/>
  <c r="CH18" i="28"/>
  <c r="CJ11" i="28"/>
  <c r="AE18" i="28"/>
  <c r="AO21" i="28"/>
  <c r="AQ20" i="28"/>
  <c r="AE11" i="28"/>
  <c r="BG18" i="28"/>
  <c r="BG12" i="28"/>
  <c r="BH11" i="28"/>
  <c r="BI11" i="28"/>
  <c r="AR20" i="28"/>
  <c r="CB44" i="28"/>
  <c r="CD34" i="28"/>
  <c r="CC34" i="28"/>
  <c r="CB58" i="28"/>
  <c r="W8" i="28"/>
  <c r="AA7" i="28"/>
  <c r="Y7" i="28"/>
  <c r="W11" i="28"/>
  <c r="CB11" i="28"/>
  <c r="CD7" i="28"/>
  <c r="CC7" i="28"/>
  <c r="L11" i="28"/>
  <c r="G12" i="28"/>
  <c r="AL18" i="28"/>
  <c r="AL12" i="28"/>
  <c r="V7" i="28"/>
  <c r="H11" i="28"/>
  <c r="J7" i="28"/>
  <c r="I7" i="28"/>
  <c r="X7" i="28"/>
  <c r="CE18" i="28"/>
  <c r="CE12" i="28"/>
  <c r="CF11" i="28"/>
  <c r="AN11" i="28"/>
  <c r="AC12" i="28"/>
  <c r="K18" i="28"/>
  <c r="K12" i="28"/>
  <c r="BS8" i="28"/>
  <c r="BU7" i="28"/>
  <c r="BS11" i="28"/>
  <c r="BW7" i="28"/>
  <c r="N20" i="28"/>
  <c r="AT11" i="28"/>
  <c r="BP23" i="28"/>
  <c r="BP18" i="28"/>
  <c r="BQ11" i="28"/>
  <c r="BP12" i="28"/>
  <c r="BR11" i="28"/>
  <c r="R20" i="28"/>
  <c r="Q21" i="28"/>
  <c r="S20" i="28"/>
  <c r="AC21" i="28"/>
  <c r="AE20" i="28"/>
  <c r="BD11" i="28"/>
  <c r="BR7" i="28"/>
  <c r="BE7" i="28"/>
  <c r="BF7" i="28"/>
  <c r="CK6" i="28"/>
  <c r="CM5" i="28"/>
  <c r="BI7" i="28"/>
  <c r="BV18" i="28"/>
  <c r="BV23" i="28"/>
  <c r="BV12" i="28"/>
  <c r="AF8" i="28"/>
  <c r="CB8" i="28"/>
  <c r="V11" i="28"/>
  <c r="AX18" i="28"/>
  <c r="AX12" i="28"/>
  <c r="AZ11" i="28"/>
  <c r="BY23" i="28"/>
  <c r="BY12" i="28"/>
  <c r="BY18" i="28"/>
  <c r="CM11" i="28"/>
  <c r="CA11" i="28"/>
  <c r="BZ11" i="28"/>
  <c r="T18" i="28"/>
  <c r="CE71" i="28"/>
  <c r="CE68" i="28"/>
  <c r="CE67" i="28"/>
  <c r="CE63" i="28"/>
  <c r="CE62" i="28"/>
  <c r="CE60" i="28"/>
  <c r="CE58" i="28"/>
  <c r="CE56" i="28"/>
  <c r="CE54" i="28"/>
  <c r="CE52" i="28"/>
  <c r="CF44" i="28"/>
  <c r="CE61" i="28"/>
  <c r="CE59" i="28"/>
  <c r="CE57" i="28"/>
  <c r="CE55" i="28"/>
  <c r="CE53" i="28"/>
  <c r="CA31" i="28"/>
  <c r="BZ31" i="28"/>
  <c r="BP61" i="28"/>
  <c r="CD37" i="28"/>
  <c r="BS58" i="28"/>
  <c r="CG34" i="28"/>
  <c r="BP44" i="28"/>
  <c r="AP11" i="28"/>
  <c r="CE69" i="28"/>
  <c r="CI45" i="28"/>
  <c r="CG45" i="28"/>
  <c r="CB70" i="28"/>
  <c r="R7" i="28"/>
  <c r="AP7" i="28"/>
  <c r="BN7" i="28"/>
  <c r="AL8" i="28"/>
  <c r="F11" i="28"/>
  <c r="O11" i="28"/>
  <c r="AQ11" i="28"/>
  <c r="N12" i="28"/>
  <c r="AO12" i="28"/>
  <c r="CC31" i="28"/>
  <c r="CM31" i="28"/>
  <c r="BU34" i="28"/>
  <c r="CF34" i="28"/>
  <c r="BR37" i="28"/>
  <c r="BV44" i="28"/>
  <c r="BV70" i="28" s="1"/>
  <c r="BW45" i="28"/>
  <c r="CF45" i="28"/>
  <c r="CC46" i="28"/>
  <c r="BV69" i="28"/>
  <c r="BM12" i="28"/>
  <c r="BP55" i="28"/>
  <c r="BT31" i="28"/>
  <c r="BR31" i="28"/>
  <c r="BT34" i="28"/>
  <c r="AQ7" i="28"/>
  <c r="AO8" i="28"/>
  <c r="Q12" i="28"/>
  <c r="AR12" i="28"/>
  <c r="BJ18" i="28"/>
  <c r="BN18" i="28" s="1"/>
  <c r="CL23" i="28"/>
  <c r="BP52" i="28"/>
  <c r="CD31" i="28"/>
  <c r="BX34" i="28"/>
  <c r="BW34" i="28"/>
  <c r="CH58" i="28"/>
  <c r="BS61" i="28"/>
  <c r="BW37" i="28"/>
  <c r="BS44" i="28"/>
  <c r="CG44" i="28" s="1"/>
  <c r="BU37" i="28"/>
  <c r="BT37" i="28"/>
  <c r="BX45" i="28"/>
  <c r="CD46" i="28"/>
  <c r="BY52" i="28"/>
  <c r="S18" i="28"/>
  <c r="R18" i="28"/>
  <c r="BO7" i="28"/>
  <c r="AI11" i="28"/>
  <c r="AM11" i="28" s="1"/>
  <c r="L7" i="28"/>
  <c r="AJ7" i="28"/>
  <c r="BH7" i="28"/>
  <c r="BX7" i="28"/>
  <c r="CF7" i="28"/>
  <c r="T8" i="28"/>
  <c r="AR8" i="28"/>
  <c r="BP8" i="28"/>
  <c r="CL9" i="28"/>
  <c r="R11" i="28"/>
  <c r="AS11" i="28"/>
  <c r="BB11" i="28"/>
  <c r="BK11" i="28"/>
  <c r="BZ28" i="28"/>
  <c r="CJ28" i="28"/>
  <c r="CI46" i="28"/>
  <c r="CI34" i="28"/>
  <c r="CG37" i="28"/>
  <c r="BZ45" i="28"/>
  <c r="CE70" i="28"/>
  <c r="CG46" i="28"/>
  <c r="CF46" i="28"/>
  <c r="S7" i="28"/>
  <c r="Q8" i="28"/>
  <c r="BM8" i="28"/>
  <c r="P11" i="28"/>
  <c r="M7" i="28"/>
  <c r="U7" i="28"/>
  <c r="CG7" i="28"/>
  <c r="CM9" i="28"/>
  <c r="S11" i="28"/>
  <c r="AB11" i="28"/>
  <c r="BC11" i="28"/>
  <c r="AB18" i="28"/>
  <c r="BA18" i="28"/>
  <c r="CL18" i="28"/>
  <c r="CK52" i="28"/>
  <c r="CM28" i="28"/>
  <c r="CL28" i="28"/>
  <c r="CF31" i="28"/>
  <c r="BP58" i="28"/>
  <c r="BZ34" i="28"/>
  <c r="CJ34" i="28"/>
  <c r="CL37" i="28"/>
  <c r="CH44" i="28"/>
  <c r="CH52" i="28" s="1"/>
  <c r="CJ37" i="28"/>
  <c r="BY44" i="28"/>
  <c r="BZ46" i="28"/>
  <c r="BX46" i="28"/>
  <c r="CJ46" i="28"/>
  <c r="AQ18" i="28"/>
  <c r="CL31" i="28"/>
  <c r="BQ37" i="28"/>
  <c r="BN11" i="28"/>
  <c r="Z12" i="28"/>
  <c r="Z20" i="28"/>
  <c r="AD20" i="28" s="1"/>
  <c r="BM20" i="28"/>
  <c r="BS52" i="28"/>
  <c r="CF28" i="28"/>
  <c r="CD28" i="28"/>
  <c r="BW31" i="28"/>
  <c r="CK58" i="28"/>
  <c r="CM34" i="28"/>
  <c r="CI37" i="28"/>
  <c r="BT45" i="28"/>
  <c r="BR45" i="28"/>
  <c r="BQ45" i="28"/>
  <c r="BP69" i="28"/>
  <c r="CB69" i="28"/>
  <c r="CM45" i="28"/>
  <c r="BW46" i="28"/>
  <c r="BV55" i="28"/>
  <c r="CH54" i="28"/>
  <c r="CH55" i="28"/>
  <c r="CI30" i="28"/>
  <c r="CK53" i="28"/>
  <c r="CK54" i="28"/>
  <c r="CK56" i="28"/>
  <c r="CK57" i="28"/>
  <c r="CK59" i="28"/>
  <c r="CK60" i="28"/>
  <c r="CK62" i="28"/>
  <c r="CK63" i="28"/>
  <c r="CK64" i="28"/>
  <c r="CK65" i="28"/>
  <c r="Z3" i="27" l="1"/>
  <c r="Y36" i="27"/>
  <c r="AD3" i="27"/>
  <c r="AC36" i="27"/>
  <c r="X34" i="29"/>
  <c r="V44" i="29"/>
  <c r="X44" i="29"/>
  <c r="X28" i="29"/>
  <c r="BV20" i="28"/>
  <c r="BX18" i="28"/>
  <c r="Y11" i="28"/>
  <c r="W12" i="28"/>
  <c r="W18" i="28"/>
  <c r="X11" i="28"/>
  <c r="AS20" i="28"/>
  <c r="AR21" i="28"/>
  <c r="BM21" i="28"/>
  <c r="BB18" i="28"/>
  <c r="BA20" i="28"/>
  <c r="BC18" i="28"/>
  <c r="AX20" i="28"/>
  <c r="AZ18" i="28"/>
  <c r="BU11" i="28"/>
  <c r="BS23" i="28"/>
  <c r="BT11" i="28"/>
  <c r="BS12" i="28"/>
  <c r="BS18" i="28"/>
  <c r="CG18" i="28" s="1"/>
  <c r="CG11" i="28"/>
  <c r="AW11" i="28"/>
  <c r="AU12" i="28"/>
  <c r="AU18" i="28"/>
  <c r="AV11" i="28"/>
  <c r="AA11" i="28"/>
  <c r="CA44" i="28"/>
  <c r="BY71" i="28"/>
  <c r="BY68" i="28"/>
  <c r="BY67" i="28"/>
  <c r="BZ44" i="28"/>
  <c r="CM44" i="28"/>
  <c r="BY62" i="28"/>
  <c r="BY60" i="28"/>
  <c r="BY58" i="28"/>
  <c r="BY56" i="28"/>
  <c r="BY54" i="28"/>
  <c r="BY55" i="28"/>
  <c r="BY53" i="28"/>
  <c r="BY63" i="28"/>
  <c r="BY61" i="28"/>
  <c r="BY59" i="28"/>
  <c r="BY57" i="28"/>
  <c r="BR23" i="28"/>
  <c r="BP24" i="28"/>
  <c r="BQ23" i="28"/>
  <c r="CH20" i="28"/>
  <c r="CJ18" i="28"/>
  <c r="CI18" i="28"/>
  <c r="BJ20" i="28"/>
  <c r="BL18" i="28"/>
  <c r="BK18" i="28"/>
  <c r="F18" i="28"/>
  <c r="F12" i="28"/>
  <c r="AL20" i="28"/>
  <c r="AN18" i="28"/>
  <c r="AM18" i="28"/>
  <c r="CM18" i="28"/>
  <c r="CA18" i="28"/>
  <c r="BZ18" i="28"/>
  <c r="BY20" i="28"/>
  <c r="CH70" i="28"/>
  <c r="BO18" i="28"/>
  <c r="BZ23" i="28"/>
  <c r="BY24" i="28"/>
  <c r="CM23" i="28"/>
  <c r="CA23" i="28"/>
  <c r="K20" i="28"/>
  <c r="O20" i="28" s="1"/>
  <c r="M18" i="28"/>
  <c r="BG20" i="28"/>
  <c r="BI18" i="28"/>
  <c r="Z21" i="28"/>
  <c r="AB20" i="28"/>
  <c r="BP20" i="28"/>
  <c r="BQ18" i="28"/>
  <c r="CH71" i="28"/>
  <c r="CH69" i="28"/>
  <c r="CH68" i="28"/>
  <c r="CH67" i="28"/>
  <c r="CJ44" i="28"/>
  <c r="CI44" i="28"/>
  <c r="CH63" i="28"/>
  <c r="CH62" i="28"/>
  <c r="CH60" i="28"/>
  <c r="CH59" i="28"/>
  <c r="CH57" i="28"/>
  <c r="CH56" i="28"/>
  <c r="CH53" i="28"/>
  <c r="CL44" i="28"/>
  <c r="AI18" i="28"/>
  <c r="AI12" i="28"/>
  <c r="AK11" i="28"/>
  <c r="AJ11" i="28"/>
  <c r="BP63" i="28"/>
  <c r="BP62" i="28"/>
  <c r="BP60" i="28"/>
  <c r="BP59" i="28"/>
  <c r="BP57" i="28"/>
  <c r="BP56" i="28"/>
  <c r="BP54" i="28"/>
  <c r="BP53" i="28"/>
  <c r="BR44" i="28"/>
  <c r="BP71" i="28"/>
  <c r="BP70" i="28"/>
  <c r="BP68" i="28"/>
  <c r="BP67" i="28"/>
  <c r="BQ44" i="28"/>
  <c r="BV58" i="28"/>
  <c r="BX23" i="28"/>
  <c r="BV24" i="28"/>
  <c r="BW23" i="28"/>
  <c r="O18" i="28"/>
  <c r="AG11" i="28"/>
  <c r="AF18" i="28"/>
  <c r="AH11" i="28"/>
  <c r="AF12" i="28"/>
  <c r="CE20" i="28"/>
  <c r="BY69" i="28"/>
  <c r="AP18" i="28"/>
  <c r="CH61" i="28"/>
  <c r="BS63" i="28"/>
  <c r="BS62" i="28"/>
  <c r="BS60" i="28"/>
  <c r="BS59" i="28"/>
  <c r="BS57" i="28"/>
  <c r="BS56" i="28"/>
  <c r="BS55" i="28"/>
  <c r="BS54" i="28"/>
  <c r="BS53" i="28"/>
  <c r="BU44" i="28"/>
  <c r="BT44" i="28"/>
  <c r="BS68" i="28"/>
  <c r="BS71" i="28"/>
  <c r="BS70" i="28"/>
  <c r="BS67" i="28"/>
  <c r="BS69" i="28"/>
  <c r="BV71" i="28"/>
  <c r="BV63" i="28"/>
  <c r="BV61" i="28"/>
  <c r="BV59" i="28"/>
  <c r="BV57" i="28"/>
  <c r="BV53" i="28"/>
  <c r="BV67" i="28"/>
  <c r="BX44" i="28"/>
  <c r="BW44" i="28"/>
  <c r="BV62" i="28"/>
  <c r="BV60" i="28"/>
  <c r="BV56" i="28"/>
  <c r="BV54" i="28"/>
  <c r="BV52" i="28"/>
  <c r="BV68" i="28"/>
  <c r="U18" i="28"/>
  <c r="T20" i="28"/>
  <c r="V18" i="28"/>
  <c r="AY11" i="28"/>
  <c r="BW11" i="28"/>
  <c r="BE11" i="28"/>
  <c r="BD12" i="28"/>
  <c r="BD18" i="28"/>
  <c r="BR18" i="28" s="1"/>
  <c r="BF11" i="28"/>
  <c r="BY70" i="28"/>
  <c r="N21" i="28"/>
  <c r="I11" i="28"/>
  <c r="J11" i="28"/>
  <c r="H12" i="28"/>
  <c r="H18" i="28"/>
  <c r="CC11" i="28"/>
  <c r="CB12" i="28"/>
  <c r="CB23" i="28"/>
  <c r="CD11" i="28"/>
  <c r="CB18" i="28"/>
  <c r="CC44" i="28"/>
  <c r="CB71" i="28"/>
  <c r="CB68" i="28"/>
  <c r="CB67" i="28"/>
  <c r="CD44" i="28"/>
  <c r="CB57" i="28"/>
  <c r="CB55" i="28"/>
  <c r="CB53" i="28"/>
  <c r="CB61" i="28"/>
  <c r="CB62" i="28"/>
  <c r="CB60" i="28"/>
  <c r="CB56" i="28"/>
  <c r="CB54" i="28"/>
  <c r="CB59" i="28"/>
  <c r="CB63" i="28"/>
  <c r="CB52" i="28"/>
  <c r="CH24" i="28"/>
  <c r="CJ23" i="28"/>
  <c r="CI23" i="28"/>
  <c r="AE3" i="27" l="1"/>
  <c r="AE36" i="27" s="1"/>
  <c r="AD36" i="27"/>
  <c r="AA3" i="27"/>
  <c r="AA36" i="27" s="1"/>
  <c r="Z36" i="27"/>
  <c r="CB20" i="28"/>
  <c r="CD18" i="28"/>
  <c r="CC18" i="28"/>
  <c r="CF18" i="28"/>
  <c r="BA21" i="28"/>
  <c r="BC20" i="28"/>
  <c r="BB20" i="28"/>
  <c r="CG20" i="28"/>
  <c r="CF20" i="28"/>
  <c r="CE21" i="28"/>
  <c r="BL20" i="28"/>
  <c r="BK20" i="28"/>
  <c r="BJ21" i="28"/>
  <c r="W20" i="28"/>
  <c r="Y18" i="28"/>
  <c r="X18" i="28"/>
  <c r="AA18" i="28"/>
  <c r="CD23" i="28"/>
  <c r="CC23" i="28"/>
  <c r="CB24" i="28"/>
  <c r="CF23" i="28"/>
  <c r="BH18" i="28"/>
  <c r="BS24" i="28"/>
  <c r="BU23" i="28"/>
  <c r="BT23" i="28"/>
  <c r="CG23" i="28"/>
  <c r="BN20" i="28"/>
  <c r="BS20" i="28"/>
  <c r="BU18" i="28"/>
  <c r="BT18" i="28"/>
  <c r="AU20" i="28"/>
  <c r="AW18" i="28"/>
  <c r="AV18" i="28"/>
  <c r="BO20" i="28"/>
  <c r="V20" i="28"/>
  <c r="T21" i="28"/>
  <c r="U20" i="28"/>
  <c r="BI20" i="28"/>
  <c r="BG21" i="28"/>
  <c r="BH20" i="28"/>
  <c r="AN20" i="28"/>
  <c r="AL21" i="28"/>
  <c r="AP20" i="28"/>
  <c r="CJ20" i="28"/>
  <c r="CI20" i="28"/>
  <c r="CL20" i="28"/>
  <c r="CH21" i="28"/>
  <c r="H20" i="28"/>
  <c r="J18" i="28"/>
  <c r="I18" i="28"/>
  <c r="AF20" i="28"/>
  <c r="AH18" i="28"/>
  <c r="AG18" i="28"/>
  <c r="AT18" i="28"/>
  <c r="AI20" i="28"/>
  <c r="AK18" i="28"/>
  <c r="AJ18" i="28"/>
  <c r="L18" i="28"/>
  <c r="AX21" i="28"/>
  <c r="AY20" i="28"/>
  <c r="AZ20" i="28"/>
  <c r="BV21" i="28"/>
  <c r="BX20" i="28"/>
  <c r="L20" i="28"/>
  <c r="K21" i="28"/>
  <c r="M20" i="28"/>
  <c r="BD20" i="28"/>
  <c r="BF18" i="28"/>
  <c r="BE18" i="28"/>
  <c r="BR20" i="28"/>
  <c r="BQ20" i="28"/>
  <c r="BP21" i="28"/>
  <c r="BY21" i="28"/>
  <c r="CA20" i="28"/>
  <c r="BZ20" i="28"/>
  <c r="CM20" i="28"/>
  <c r="F20" i="28"/>
  <c r="P18" i="28"/>
  <c r="AY18" i="28"/>
  <c r="BW18" i="28"/>
  <c r="AK20" i="28" l="1"/>
  <c r="AJ20" i="28"/>
  <c r="AI21" i="28"/>
  <c r="F21" i="28"/>
  <c r="P20" i="28"/>
  <c r="AV20" i="28"/>
  <c r="AW20" i="28"/>
  <c r="AU21" i="28"/>
  <c r="AF21" i="28"/>
  <c r="AH20" i="28"/>
  <c r="AG20" i="28"/>
  <c r="AT20" i="28"/>
  <c r="BT20" i="28"/>
  <c r="BU20" i="28"/>
  <c r="BS21" i="28"/>
  <c r="X20" i="28"/>
  <c r="W21" i="28"/>
  <c r="Y20" i="28"/>
  <c r="AA20" i="28"/>
  <c r="BD21" i="28"/>
  <c r="BE20" i="28"/>
  <c r="BF20" i="28"/>
  <c r="AM20" i="28"/>
  <c r="BW20" i="28"/>
  <c r="H21" i="28"/>
  <c r="J20" i="28"/>
  <c r="I20" i="28"/>
  <c r="CB21" i="28"/>
  <c r="CD20" i="28"/>
  <c r="CC20" i="28"/>
  <c r="BB26" i="4" l="1"/>
  <c r="R74" i="11"/>
  <c r="S74" i="11" s="1"/>
  <c r="R73" i="11"/>
  <c r="S73" i="11" s="1"/>
  <c r="R72" i="11"/>
  <c r="S72" i="11" s="1"/>
  <c r="R67" i="11"/>
  <c r="S67" i="11" s="1"/>
  <c r="R66" i="11"/>
  <c r="S66" i="11" s="1"/>
  <c r="R65" i="11"/>
  <c r="S65" i="11" s="1"/>
  <c r="R60" i="11"/>
  <c r="S60" i="11" s="1"/>
  <c r="R59" i="11"/>
  <c r="S59" i="11" s="1"/>
  <c r="R58" i="11"/>
  <c r="S58" i="11" s="1"/>
  <c r="R57" i="11"/>
  <c r="S57" i="11" s="1"/>
  <c r="R56" i="11"/>
  <c r="S56" i="11" s="1"/>
  <c r="CA16" i="4"/>
  <c r="BX17" i="4"/>
  <c r="CA7" i="4"/>
  <c r="CB7" i="4"/>
  <c r="CM51" i="4"/>
  <c r="CJ51" i="4"/>
  <c r="CN50" i="4"/>
  <c r="CM50" i="4"/>
  <c r="CK50" i="4"/>
  <c r="CJ50" i="4"/>
  <c r="CH50" i="4"/>
  <c r="CG50" i="4"/>
  <c r="CB50" i="4"/>
  <c r="BY50" i="4"/>
  <c r="BV50" i="4"/>
  <c r="BS50" i="4"/>
  <c r="BP50" i="4"/>
  <c r="BM50" i="4"/>
  <c r="BJ50" i="4"/>
  <c r="BG50" i="4"/>
  <c r="CN49" i="4"/>
  <c r="CM49" i="4"/>
  <c r="CK49" i="4"/>
  <c r="CJ49" i="4"/>
  <c r="CH49" i="4"/>
  <c r="CG49" i="4"/>
  <c r="CB49" i="4"/>
  <c r="CA49" i="4"/>
  <c r="BY49" i="4"/>
  <c r="BX49" i="4"/>
  <c r="BV49" i="4"/>
  <c r="BU49" i="4"/>
  <c r="BS49" i="4"/>
  <c r="BR49" i="4"/>
  <c r="BP49" i="4"/>
  <c r="BO49" i="4"/>
  <c r="BM49" i="4"/>
  <c r="BL49" i="4"/>
  <c r="BJ49" i="4"/>
  <c r="BI49" i="4"/>
  <c r="BG49" i="4"/>
  <c r="BF49" i="4"/>
  <c r="CN48" i="4"/>
  <c r="CM48" i="4"/>
  <c r="CK48" i="4"/>
  <c r="CJ48" i="4"/>
  <c r="CH48" i="4"/>
  <c r="CG48" i="4"/>
  <c r="CB48" i="4"/>
  <c r="CA48" i="4"/>
  <c r="BY48" i="4"/>
  <c r="BX48" i="4"/>
  <c r="BV48" i="4"/>
  <c r="BU48" i="4"/>
  <c r="BS48" i="4"/>
  <c r="BR48" i="4"/>
  <c r="BP48" i="4"/>
  <c r="BO48" i="4"/>
  <c r="BM48" i="4"/>
  <c r="BL48" i="4"/>
  <c r="BJ48" i="4"/>
  <c r="BI48" i="4"/>
  <c r="BG48" i="4"/>
  <c r="BF48" i="4"/>
  <c r="CN47" i="4"/>
  <c r="CM47" i="4"/>
  <c r="CK47" i="4"/>
  <c r="CK86" i="4" s="1"/>
  <c r="CJ47" i="4"/>
  <c r="CJ86" i="4" s="1"/>
  <c r="CH47" i="4"/>
  <c r="CH86" i="4" s="1"/>
  <c r="CG47" i="4"/>
  <c r="CG86" i="4" s="1"/>
  <c r="CB47" i="4"/>
  <c r="CB86" i="4" s="1"/>
  <c r="CA47" i="4"/>
  <c r="CA86" i="4" s="1"/>
  <c r="BY47" i="4"/>
  <c r="BY86" i="4" s="1"/>
  <c r="BX47" i="4"/>
  <c r="BX86" i="4" s="1"/>
  <c r="BV47" i="4"/>
  <c r="BV86" i="4" s="1"/>
  <c r="BU47" i="4"/>
  <c r="BU86" i="4" s="1"/>
  <c r="BS47" i="4"/>
  <c r="BS86" i="4" s="1"/>
  <c r="BR47" i="4"/>
  <c r="BR86" i="4" s="1"/>
  <c r="BP47" i="4"/>
  <c r="BP86" i="4" s="1"/>
  <c r="BO47" i="4"/>
  <c r="BO86" i="4" s="1"/>
  <c r="BM47" i="4"/>
  <c r="BM86" i="4" s="1"/>
  <c r="BL47" i="4"/>
  <c r="BL86" i="4" s="1"/>
  <c r="BJ47" i="4"/>
  <c r="BJ86" i="4" s="1"/>
  <c r="BI47" i="4"/>
  <c r="BI86" i="4" s="1"/>
  <c r="BG47" i="4"/>
  <c r="BG86" i="4" s="1"/>
  <c r="BF47" i="4"/>
  <c r="BF86" i="4" s="1"/>
  <c r="CN46" i="4"/>
  <c r="CM46" i="4"/>
  <c r="CK46" i="4"/>
  <c r="CJ46" i="4"/>
  <c r="CH46" i="4"/>
  <c r="CG46" i="4"/>
  <c r="CB46" i="4"/>
  <c r="CA46" i="4"/>
  <c r="BY46" i="4"/>
  <c r="BX46" i="4"/>
  <c r="BV46" i="4"/>
  <c r="BU46" i="4"/>
  <c r="BS46" i="4"/>
  <c r="BR46" i="4"/>
  <c r="BP46" i="4"/>
  <c r="BO46" i="4"/>
  <c r="BM46" i="4"/>
  <c r="BL46" i="4"/>
  <c r="BJ46" i="4"/>
  <c r="BI46" i="4"/>
  <c r="BG46" i="4"/>
  <c r="BF46" i="4"/>
  <c r="CN45" i="4"/>
  <c r="CM45" i="4"/>
  <c r="CK45" i="4"/>
  <c r="CJ45" i="4"/>
  <c r="CH45" i="4"/>
  <c r="CG45" i="4"/>
  <c r="CB45" i="4"/>
  <c r="CA45" i="4"/>
  <c r="BY45" i="4"/>
  <c r="BX45" i="4"/>
  <c r="BV45" i="4"/>
  <c r="BU45" i="4"/>
  <c r="BS45" i="4"/>
  <c r="BR45" i="4"/>
  <c r="BP45" i="4"/>
  <c r="BO45" i="4"/>
  <c r="BM45" i="4"/>
  <c r="BL45" i="4"/>
  <c r="BJ45" i="4"/>
  <c r="BI45" i="4"/>
  <c r="BG45" i="4"/>
  <c r="BF45" i="4"/>
  <c r="CM44" i="4"/>
  <c r="CJ44" i="4"/>
  <c r="CM43" i="4"/>
  <c r="CJ43" i="4"/>
  <c r="CN42" i="4"/>
  <c r="CM42" i="4"/>
  <c r="CK42" i="4"/>
  <c r="CJ42" i="4"/>
  <c r="CH42" i="4"/>
  <c r="CG42" i="4"/>
  <c r="CB42" i="4"/>
  <c r="CA42" i="4"/>
  <c r="BY42" i="4"/>
  <c r="BX42" i="4"/>
  <c r="BV42" i="4"/>
  <c r="BU42" i="4"/>
  <c r="BS42" i="4"/>
  <c r="BR42" i="4"/>
  <c r="BP42" i="4"/>
  <c r="BO42" i="4"/>
  <c r="BM42" i="4"/>
  <c r="BL42" i="4"/>
  <c r="BJ42" i="4"/>
  <c r="BI42" i="4"/>
  <c r="BG42" i="4"/>
  <c r="BF42" i="4"/>
  <c r="CN41" i="4"/>
  <c r="CM41" i="4"/>
  <c r="CK41" i="4"/>
  <c r="CJ41" i="4"/>
  <c r="CH41" i="4"/>
  <c r="CG41" i="4"/>
  <c r="CB41" i="4"/>
  <c r="CA41" i="4"/>
  <c r="BY41" i="4"/>
  <c r="BX41" i="4"/>
  <c r="BV41" i="4"/>
  <c r="BU41" i="4"/>
  <c r="BS41" i="4"/>
  <c r="BR41" i="4"/>
  <c r="BP41" i="4"/>
  <c r="BO41" i="4"/>
  <c r="BM41" i="4"/>
  <c r="BL41" i="4"/>
  <c r="BJ41" i="4"/>
  <c r="BI41" i="4"/>
  <c r="BG41" i="4"/>
  <c r="BF41" i="4"/>
  <c r="CN40" i="4"/>
  <c r="CM40" i="4"/>
  <c r="CK40" i="4"/>
  <c r="CJ40" i="4"/>
  <c r="CH40" i="4"/>
  <c r="CG40" i="4"/>
  <c r="CB40" i="4"/>
  <c r="CA40" i="4"/>
  <c r="BY40" i="4"/>
  <c r="BX40" i="4"/>
  <c r="BV40" i="4"/>
  <c r="BU40" i="4"/>
  <c r="BS40" i="4"/>
  <c r="BR40" i="4"/>
  <c r="BP40" i="4"/>
  <c r="BO40" i="4"/>
  <c r="BM40" i="4"/>
  <c r="BL40" i="4"/>
  <c r="BJ40" i="4"/>
  <c r="BI40" i="4"/>
  <c r="BG40" i="4"/>
  <c r="BF40" i="4"/>
  <c r="CN39" i="4"/>
  <c r="CM39" i="4"/>
  <c r="CK39" i="4"/>
  <c r="CJ39" i="4"/>
  <c r="CH39" i="4"/>
  <c r="CG39" i="4"/>
  <c r="CB39" i="4"/>
  <c r="CA39" i="4"/>
  <c r="BY39" i="4"/>
  <c r="BX39" i="4"/>
  <c r="BV39" i="4"/>
  <c r="BU39" i="4"/>
  <c r="BS39" i="4"/>
  <c r="BR39" i="4"/>
  <c r="BP39" i="4"/>
  <c r="BO39" i="4"/>
  <c r="BM39" i="4"/>
  <c r="BL39" i="4"/>
  <c r="BJ39" i="4"/>
  <c r="BI39" i="4"/>
  <c r="BG39" i="4"/>
  <c r="BF39" i="4"/>
  <c r="CN38" i="4"/>
  <c r="CM38" i="4"/>
  <c r="CK38" i="4"/>
  <c r="CJ38" i="4"/>
  <c r="CH38" i="4"/>
  <c r="CG38" i="4"/>
  <c r="CB38" i="4"/>
  <c r="CA38" i="4"/>
  <c r="BY38" i="4"/>
  <c r="BX38" i="4"/>
  <c r="BV38" i="4"/>
  <c r="BU38" i="4"/>
  <c r="BS38" i="4"/>
  <c r="BR38" i="4"/>
  <c r="BP38" i="4"/>
  <c r="BO38" i="4"/>
  <c r="BM38" i="4"/>
  <c r="BL38" i="4"/>
  <c r="BJ38" i="4"/>
  <c r="BI38" i="4"/>
  <c r="BG38" i="4"/>
  <c r="BF38" i="4"/>
  <c r="CM37" i="4"/>
  <c r="CJ37" i="4"/>
  <c r="CG36" i="4"/>
  <c r="CB36" i="4"/>
  <c r="CA36" i="4"/>
  <c r="BY36" i="4"/>
  <c r="BX36" i="4"/>
  <c r="BV36" i="4"/>
  <c r="BU36" i="4"/>
  <c r="BS36" i="4"/>
  <c r="BR36" i="4"/>
  <c r="CN35" i="4"/>
  <c r="CM35" i="4"/>
  <c r="CK35" i="4"/>
  <c r="CJ35" i="4"/>
  <c r="CH35" i="4"/>
  <c r="CG35" i="4"/>
  <c r="CB35" i="4"/>
  <c r="CA35" i="4"/>
  <c r="BY35" i="4"/>
  <c r="BX35" i="4"/>
  <c r="BV35" i="4"/>
  <c r="BU35" i="4"/>
  <c r="BS35" i="4"/>
  <c r="BR35" i="4"/>
  <c r="BP35" i="4"/>
  <c r="BO35" i="4"/>
  <c r="BM35" i="4"/>
  <c r="BL35" i="4"/>
  <c r="BJ35" i="4"/>
  <c r="BI35" i="4"/>
  <c r="BG35" i="4"/>
  <c r="BF35" i="4"/>
  <c r="CN34" i="4"/>
  <c r="CM34" i="4"/>
  <c r="CK34" i="4"/>
  <c r="CJ34" i="4"/>
  <c r="CH34" i="4"/>
  <c r="CG34" i="4"/>
  <c r="CB34" i="4"/>
  <c r="CA34" i="4"/>
  <c r="BY34" i="4"/>
  <c r="BX34" i="4"/>
  <c r="BV34" i="4"/>
  <c r="BU34" i="4"/>
  <c r="BS34" i="4"/>
  <c r="BR34" i="4"/>
  <c r="BP34" i="4"/>
  <c r="BO34" i="4"/>
  <c r="BM34" i="4"/>
  <c r="BL34" i="4"/>
  <c r="BJ34" i="4"/>
  <c r="BI34" i="4"/>
  <c r="BG34" i="4"/>
  <c r="BF34" i="4"/>
  <c r="CK33" i="4"/>
  <c r="CH33" i="4"/>
  <c r="CG33" i="4"/>
  <c r="CB33" i="4"/>
  <c r="CA33" i="4"/>
  <c r="CN32" i="4"/>
  <c r="CM32" i="4"/>
  <c r="CK32" i="4"/>
  <c r="CJ32" i="4"/>
  <c r="CH32" i="4"/>
  <c r="CG32" i="4"/>
  <c r="CB32" i="4"/>
  <c r="CA32" i="4"/>
  <c r="BY32" i="4"/>
  <c r="BX32" i="4"/>
  <c r="BV32" i="4"/>
  <c r="BU32" i="4"/>
  <c r="BS32" i="4"/>
  <c r="BR32" i="4"/>
  <c r="BP32" i="4"/>
  <c r="BO32" i="4"/>
  <c r="BM32" i="4"/>
  <c r="BL32" i="4"/>
  <c r="BJ32" i="4"/>
  <c r="BI32" i="4"/>
  <c r="BG32" i="4"/>
  <c r="BF32" i="4"/>
  <c r="CN30" i="4"/>
  <c r="CM30" i="4"/>
  <c r="CK30" i="4"/>
  <c r="CJ30" i="4"/>
  <c r="CH30" i="4"/>
  <c r="CG30" i="4"/>
  <c r="CB30" i="4"/>
  <c r="CA30" i="4"/>
  <c r="BY30" i="4"/>
  <c r="BX30" i="4"/>
  <c r="BV30" i="4"/>
  <c r="BU30" i="4"/>
  <c r="BS30" i="4"/>
  <c r="BR30" i="4"/>
  <c r="BP30" i="4"/>
  <c r="BO30" i="4"/>
  <c r="BM30" i="4"/>
  <c r="BL30" i="4"/>
  <c r="BJ30" i="4"/>
  <c r="BI30" i="4"/>
  <c r="BG30" i="4"/>
  <c r="BF30" i="4"/>
  <c r="CN29" i="4"/>
  <c r="CM29" i="4"/>
  <c r="CK29" i="4"/>
  <c r="CJ29" i="4"/>
  <c r="CH29" i="4"/>
  <c r="CG29" i="4"/>
  <c r="CB29" i="4"/>
  <c r="CA29" i="4"/>
  <c r="BY29" i="4"/>
  <c r="BX29" i="4"/>
  <c r="BV29" i="4"/>
  <c r="BU29" i="4"/>
  <c r="BS29" i="4"/>
  <c r="BR29" i="4"/>
  <c r="BP29" i="4"/>
  <c r="BO29" i="4"/>
  <c r="BM29" i="4"/>
  <c r="BL29" i="4"/>
  <c r="BJ29" i="4"/>
  <c r="BI29" i="4"/>
  <c r="BG29" i="4"/>
  <c r="BF29" i="4"/>
  <c r="CN27" i="4"/>
  <c r="CM27" i="4"/>
  <c r="CK27" i="4"/>
  <c r="CJ27" i="4"/>
  <c r="CH27" i="4"/>
  <c r="CG27" i="4"/>
  <c r="CB27" i="4"/>
  <c r="CA27" i="4"/>
  <c r="CM26" i="4"/>
  <c r="CJ26" i="4"/>
  <c r="CM25" i="4"/>
  <c r="CJ25" i="4"/>
  <c r="CN24" i="4"/>
  <c r="CM24" i="4"/>
  <c r="CK24" i="4"/>
  <c r="CJ24" i="4"/>
  <c r="CH24" i="4"/>
  <c r="CG24" i="4"/>
  <c r="CB24" i="4"/>
  <c r="CA24" i="4"/>
  <c r="BY24" i="4"/>
  <c r="BX24" i="4"/>
  <c r="BV24" i="4"/>
  <c r="BU24" i="4"/>
  <c r="BS24" i="4"/>
  <c r="BR24" i="4"/>
  <c r="BP24" i="4"/>
  <c r="BO24" i="4"/>
  <c r="BM24" i="4"/>
  <c r="BL24" i="4"/>
  <c r="BJ24" i="4"/>
  <c r="BI24" i="4"/>
  <c r="BG24" i="4"/>
  <c r="BF24" i="4"/>
  <c r="CN23" i="4"/>
  <c r="CM23" i="4"/>
  <c r="CK23" i="4"/>
  <c r="CJ23" i="4"/>
  <c r="CH23" i="4"/>
  <c r="CG23" i="4"/>
  <c r="CB23" i="4"/>
  <c r="CA23" i="4"/>
  <c r="BY23" i="4"/>
  <c r="BX23" i="4"/>
  <c r="BV23" i="4"/>
  <c r="BU23" i="4"/>
  <c r="BS23" i="4"/>
  <c r="BR23" i="4"/>
  <c r="BP23" i="4"/>
  <c r="BO23" i="4"/>
  <c r="BM23" i="4"/>
  <c r="BL23" i="4"/>
  <c r="BJ23" i="4"/>
  <c r="BI23" i="4"/>
  <c r="BG23" i="4"/>
  <c r="BF23" i="4"/>
  <c r="CN22" i="4"/>
  <c r="CM22" i="4"/>
  <c r="CK22" i="4"/>
  <c r="CJ22" i="4"/>
  <c r="CH22" i="4"/>
  <c r="CG22" i="4"/>
  <c r="CB22" i="4"/>
  <c r="CA22" i="4"/>
  <c r="BY22" i="4"/>
  <c r="BX22" i="4"/>
  <c r="BV22" i="4"/>
  <c r="BU22" i="4"/>
  <c r="BS22" i="4"/>
  <c r="BR22" i="4"/>
  <c r="BP22" i="4"/>
  <c r="BO22" i="4"/>
  <c r="BM22" i="4"/>
  <c r="BL22" i="4"/>
  <c r="BJ22" i="4"/>
  <c r="BI22" i="4"/>
  <c r="BG22" i="4"/>
  <c r="BF22" i="4"/>
  <c r="CN21" i="4"/>
  <c r="CM21" i="4"/>
  <c r="CK21" i="4"/>
  <c r="CJ21" i="4"/>
  <c r="CH21" i="4"/>
  <c r="CG21" i="4"/>
  <c r="CB21" i="4"/>
  <c r="CA21" i="4"/>
  <c r="BY21" i="4"/>
  <c r="BX21" i="4"/>
  <c r="BV21" i="4"/>
  <c r="BU21" i="4"/>
  <c r="BS21" i="4"/>
  <c r="BR21" i="4"/>
  <c r="BP21" i="4"/>
  <c r="BO21" i="4"/>
  <c r="BM21" i="4"/>
  <c r="BL21" i="4"/>
  <c r="BJ21" i="4"/>
  <c r="BI21" i="4"/>
  <c r="BG21" i="4"/>
  <c r="BF21" i="4"/>
  <c r="CN20" i="4"/>
  <c r="CM20" i="4"/>
  <c r="CK20" i="4"/>
  <c r="CJ20" i="4"/>
  <c r="CH20" i="4"/>
  <c r="CG20" i="4"/>
  <c r="CB20" i="4"/>
  <c r="CA20" i="4"/>
  <c r="BY20" i="4"/>
  <c r="BX20" i="4"/>
  <c r="BV20" i="4"/>
  <c r="BU20" i="4"/>
  <c r="BS20" i="4"/>
  <c r="BR20" i="4"/>
  <c r="BP20" i="4"/>
  <c r="BO20" i="4"/>
  <c r="BM20" i="4"/>
  <c r="BL20" i="4"/>
  <c r="BJ20" i="4"/>
  <c r="BI20" i="4"/>
  <c r="BG20" i="4"/>
  <c r="BF20" i="4"/>
  <c r="CN19" i="4"/>
  <c r="CM19" i="4"/>
  <c r="CK19" i="4"/>
  <c r="CJ19" i="4"/>
  <c r="CH19" i="4"/>
  <c r="CG19" i="4"/>
  <c r="CB19" i="4"/>
  <c r="CA19" i="4"/>
  <c r="BY19" i="4"/>
  <c r="BX19" i="4"/>
  <c r="BV19" i="4"/>
  <c r="BU19" i="4"/>
  <c r="BS19" i="4"/>
  <c r="BR19" i="4"/>
  <c r="BP19" i="4"/>
  <c r="BO19" i="4"/>
  <c r="BM19" i="4"/>
  <c r="BL19" i="4"/>
  <c r="BJ19" i="4"/>
  <c r="BI19" i="4"/>
  <c r="BG19" i="4"/>
  <c r="BF19" i="4"/>
  <c r="CN18" i="4"/>
  <c r="CM18" i="4"/>
  <c r="CK18" i="4"/>
  <c r="CJ18" i="4"/>
  <c r="CH18" i="4"/>
  <c r="CG18" i="4"/>
  <c r="CB18" i="4"/>
  <c r="CA18" i="4"/>
  <c r="BY18" i="4"/>
  <c r="BX18" i="4"/>
  <c r="BV18" i="4"/>
  <c r="BU18" i="4"/>
  <c r="BS18" i="4"/>
  <c r="BR18" i="4"/>
  <c r="BP18" i="4"/>
  <c r="BO18" i="4"/>
  <c r="BM18" i="4"/>
  <c r="BL18" i="4"/>
  <c r="BJ18" i="4"/>
  <c r="BI18" i="4"/>
  <c r="BG18" i="4"/>
  <c r="BF18" i="4"/>
  <c r="CG17" i="4"/>
  <c r="CB17" i="4"/>
  <c r="CA17" i="4"/>
  <c r="BY17" i="4"/>
  <c r="BV17" i="4"/>
  <c r="BU17" i="4"/>
  <c r="BS17" i="4"/>
  <c r="BR17" i="4"/>
  <c r="BP17" i="4"/>
  <c r="BO17" i="4"/>
  <c r="BM17" i="4"/>
  <c r="BL17" i="4"/>
  <c r="BJ17" i="4"/>
  <c r="BI17" i="4"/>
  <c r="BG17" i="4"/>
  <c r="BF17" i="4"/>
  <c r="CG16" i="4"/>
  <c r="CB16" i="4"/>
  <c r="BY16" i="4"/>
  <c r="BX16" i="4"/>
  <c r="BV16" i="4"/>
  <c r="BU16" i="4"/>
  <c r="BS16" i="4"/>
  <c r="BR16" i="4"/>
  <c r="BP16" i="4"/>
  <c r="BO16" i="4"/>
  <c r="BM16" i="4"/>
  <c r="BL16" i="4"/>
  <c r="BJ16" i="4"/>
  <c r="BI16" i="4"/>
  <c r="BG16" i="4"/>
  <c r="BF16" i="4"/>
  <c r="CN15" i="4"/>
  <c r="CM15" i="4"/>
  <c r="CK15" i="4"/>
  <c r="CJ15" i="4"/>
  <c r="CH15" i="4"/>
  <c r="CG15" i="4"/>
  <c r="CB15" i="4"/>
  <c r="CA15" i="4"/>
  <c r="BY15" i="4"/>
  <c r="BX15" i="4"/>
  <c r="BV15" i="4"/>
  <c r="BU15" i="4"/>
  <c r="BS15" i="4"/>
  <c r="BR15" i="4"/>
  <c r="BP15" i="4"/>
  <c r="BO15" i="4"/>
  <c r="BM15" i="4"/>
  <c r="BL15" i="4"/>
  <c r="BJ15" i="4"/>
  <c r="BI15" i="4"/>
  <c r="BG15" i="4"/>
  <c r="BF15" i="4"/>
  <c r="CM14" i="4"/>
  <c r="CJ14" i="4"/>
  <c r="CN13" i="4"/>
  <c r="CM13" i="4"/>
  <c r="CK13" i="4"/>
  <c r="CJ13" i="4"/>
  <c r="CH13" i="4"/>
  <c r="CG13" i="4"/>
  <c r="CB13" i="4"/>
  <c r="CA13" i="4"/>
  <c r="BY13" i="4"/>
  <c r="BX13" i="4"/>
  <c r="BV13" i="4"/>
  <c r="BU13" i="4"/>
  <c r="BS13" i="4"/>
  <c r="BR13" i="4"/>
  <c r="BP13" i="4"/>
  <c r="BO13" i="4"/>
  <c r="BM13" i="4"/>
  <c r="BL13" i="4"/>
  <c r="BJ13" i="4"/>
  <c r="BI13" i="4"/>
  <c r="BG13" i="4"/>
  <c r="BF13" i="4"/>
  <c r="CN12" i="4"/>
  <c r="CM12" i="4"/>
  <c r="CK12" i="4"/>
  <c r="CJ12" i="4"/>
  <c r="CH12" i="4"/>
  <c r="CG12" i="4"/>
  <c r="CB12" i="4"/>
  <c r="CA12" i="4"/>
  <c r="BY12" i="4"/>
  <c r="BX12" i="4"/>
  <c r="BV12" i="4"/>
  <c r="BU12" i="4"/>
  <c r="BS12" i="4"/>
  <c r="BR12" i="4"/>
  <c r="BP12" i="4"/>
  <c r="BO12" i="4"/>
  <c r="BM12" i="4"/>
  <c r="BL12" i="4"/>
  <c r="BJ12" i="4"/>
  <c r="BI12" i="4"/>
  <c r="BG12" i="4"/>
  <c r="BF12" i="4"/>
  <c r="CN11" i="4"/>
  <c r="CM11" i="4"/>
  <c r="CK11" i="4"/>
  <c r="CJ11" i="4"/>
  <c r="BY11" i="4"/>
  <c r="BX11" i="4"/>
  <c r="BV11" i="4"/>
  <c r="BU11" i="4"/>
  <c r="BS11" i="4"/>
  <c r="BR11" i="4"/>
  <c r="BP11" i="4"/>
  <c r="BO11" i="4"/>
  <c r="BM11" i="4"/>
  <c r="BL11" i="4"/>
  <c r="BJ11" i="4"/>
  <c r="BI11" i="4"/>
  <c r="BG11" i="4"/>
  <c r="CN10" i="4"/>
  <c r="CM10" i="4"/>
  <c r="CK10" i="4"/>
  <c r="CJ10" i="4"/>
  <c r="CH10" i="4"/>
  <c r="CG10" i="4"/>
  <c r="CB10" i="4"/>
  <c r="CA10" i="4"/>
  <c r="BY10" i="4"/>
  <c r="BX10" i="4"/>
  <c r="BV10" i="4"/>
  <c r="BU10" i="4"/>
  <c r="BS10" i="4"/>
  <c r="BR10" i="4"/>
  <c r="BP10" i="4"/>
  <c r="BO10" i="4"/>
  <c r="BM10" i="4"/>
  <c r="BL10" i="4"/>
  <c r="BJ10" i="4"/>
  <c r="BI10" i="4"/>
  <c r="BG10" i="4"/>
  <c r="BF10" i="4"/>
  <c r="CN8" i="4"/>
  <c r="CM8" i="4"/>
  <c r="CK8" i="4"/>
  <c r="CJ8" i="4"/>
  <c r="CH8" i="4"/>
  <c r="CG8" i="4"/>
  <c r="CB8" i="4"/>
  <c r="CA8" i="4"/>
  <c r="BY8" i="4"/>
  <c r="BX8" i="4"/>
  <c r="BV8" i="4"/>
  <c r="BU8" i="4"/>
  <c r="BS8" i="4"/>
  <c r="BR8" i="4"/>
  <c r="BP8" i="4"/>
  <c r="BO8" i="4"/>
  <c r="BM8" i="4"/>
  <c r="BL8" i="4"/>
  <c r="BJ8" i="4"/>
  <c r="BI8" i="4"/>
  <c r="BG8" i="4"/>
  <c r="BF8" i="4"/>
  <c r="CN7" i="4"/>
  <c r="CM7" i="4"/>
  <c r="CK7" i="4"/>
  <c r="CJ7" i="4"/>
  <c r="CH7" i="4"/>
  <c r="CG7" i="4"/>
  <c r="BY7" i="4"/>
  <c r="BX7" i="4"/>
  <c r="BV7" i="4"/>
  <c r="BU7" i="4"/>
  <c r="BS7" i="4"/>
  <c r="BR7" i="4"/>
  <c r="BP7" i="4"/>
  <c r="BO7" i="4"/>
  <c r="BM7" i="4"/>
  <c r="BL7" i="4"/>
  <c r="BJ7" i="4"/>
  <c r="BI7" i="4"/>
  <c r="BG7" i="4"/>
  <c r="BF7" i="4"/>
  <c r="CN6" i="4"/>
  <c r="CM6" i="4"/>
  <c r="CK6" i="4"/>
  <c r="CJ6" i="4"/>
  <c r="CH6" i="4"/>
  <c r="CG6" i="4"/>
  <c r="CB6" i="4"/>
  <c r="CA6" i="4"/>
  <c r="BY6" i="4"/>
  <c r="BX6" i="4"/>
  <c r="BV6" i="4"/>
  <c r="BU6" i="4"/>
  <c r="BS6" i="4"/>
  <c r="BR6" i="4"/>
  <c r="BP6" i="4"/>
  <c r="BO6" i="4"/>
  <c r="BM6" i="4"/>
  <c r="BL6" i="4"/>
  <c r="BJ6" i="4"/>
  <c r="BI6" i="4"/>
  <c r="BG6" i="4"/>
  <c r="BF6" i="4"/>
  <c r="CN5" i="4"/>
  <c r="CM5" i="4"/>
  <c r="CK5" i="4"/>
  <c r="CJ5" i="4"/>
  <c r="CH5" i="4"/>
  <c r="CG5" i="4"/>
  <c r="CB5" i="4"/>
  <c r="CA5" i="4"/>
  <c r="BY5" i="4"/>
  <c r="BX5" i="4"/>
  <c r="BV5" i="4"/>
  <c r="BU5" i="4"/>
  <c r="BS5" i="4"/>
  <c r="BR5" i="4"/>
  <c r="BP5" i="4"/>
  <c r="BO5" i="4"/>
  <c r="BM5" i="4"/>
  <c r="BL5" i="4"/>
  <c r="BJ5" i="4"/>
  <c r="BI5" i="4"/>
  <c r="BG5" i="4"/>
  <c r="BF5" i="4"/>
  <c r="CM4" i="4"/>
  <c r="CJ4" i="4"/>
  <c r="CM3" i="4"/>
  <c r="CJ3" i="4"/>
  <c r="BW76" i="4"/>
  <c r="CK76" i="4" s="1"/>
  <c r="BT76" i="4"/>
  <c r="CH76" i="4" s="1"/>
  <c r="BQ76" i="4"/>
  <c r="BN76" i="4"/>
  <c r="BK76" i="4"/>
  <c r="BH76" i="4"/>
  <c r="BE76" i="4"/>
  <c r="BZ71" i="4"/>
  <c r="BW71" i="4"/>
  <c r="CK71" i="4" s="1"/>
  <c r="BT71" i="4"/>
  <c r="CH71" i="4" s="1"/>
  <c r="BQ71" i="4"/>
  <c r="BN71" i="4"/>
  <c r="BK71" i="4"/>
  <c r="BH71" i="4"/>
  <c r="BE71" i="4"/>
  <c r="BZ68" i="4"/>
  <c r="BW68" i="4"/>
  <c r="CK68" i="4" s="1"/>
  <c r="BT68" i="4"/>
  <c r="CH68" i="4" s="1"/>
  <c r="BQ68" i="4"/>
  <c r="BN68" i="4"/>
  <c r="BK68" i="4"/>
  <c r="BH68" i="4"/>
  <c r="BE68" i="4"/>
  <c r="BZ64" i="4"/>
  <c r="BW64" i="4"/>
  <c r="CK64" i="4" s="1"/>
  <c r="BT64" i="4"/>
  <c r="CH64" i="4" s="1"/>
  <c r="BQ64" i="4"/>
  <c r="BN64" i="4"/>
  <c r="BK64" i="4"/>
  <c r="BH64" i="4"/>
  <c r="BE64" i="4"/>
  <c r="BZ61" i="4"/>
  <c r="BW61" i="4"/>
  <c r="CK61" i="4" s="1"/>
  <c r="BT61" i="4"/>
  <c r="CH61" i="4" s="1"/>
  <c r="BQ61" i="4"/>
  <c r="BN61" i="4"/>
  <c r="BK61" i="4"/>
  <c r="BH61" i="4"/>
  <c r="BE61" i="4"/>
  <c r="BZ55" i="4"/>
  <c r="BW55" i="4"/>
  <c r="CK55" i="4" s="1"/>
  <c r="BT55" i="4"/>
  <c r="CH55" i="4" s="1"/>
  <c r="BQ55" i="4"/>
  <c r="BN55" i="4"/>
  <c r="BK55" i="4"/>
  <c r="BH55" i="4"/>
  <c r="BE55" i="4"/>
  <c r="BZ44" i="4"/>
  <c r="BZ43" i="4" s="1"/>
  <c r="BW44" i="4"/>
  <c r="BT44" i="4"/>
  <c r="BQ44" i="4"/>
  <c r="BQ43" i="4" s="1"/>
  <c r="BN44" i="4"/>
  <c r="BK44" i="4"/>
  <c r="BH44" i="4"/>
  <c r="BE44" i="4"/>
  <c r="BZ37" i="4"/>
  <c r="BW37" i="4"/>
  <c r="BT37" i="4"/>
  <c r="BQ37" i="4"/>
  <c r="BN37" i="4"/>
  <c r="BK37" i="4"/>
  <c r="BH37" i="4"/>
  <c r="BE37" i="4"/>
  <c r="BZ26" i="4"/>
  <c r="BZ25" i="4" s="1"/>
  <c r="BW26" i="4"/>
  <c r="BT26" i="4"/>
  <c r="BQ26" i="4"/>
  <c r="BN26" i="4"/>
  <c r="BK26" i="4"/>
  <c r="BH26" i="4"/>
  <c r="BE26" i="4"/>
  <c r="BZ14" i="4"/>
  <c r="BW14" i="4"/>
  <c r="BT14" i="4"/>
  <c r="BQ14" i="4"/>
  <c r="BN14" i="4"/>
  <c r="BK14" i="4"/>
  <c r="BH14" i="4"/>
  <c r="BE14" i="4"/>
  <c r="BZ4" i="4"/>
  <c r="BW4" i="4"/>
  <c r="BT4" i="4"/>
  <c r="BQ4" i="4"/>
  <c r="BN4" i="4"/>
  <c r="BK4" i="4"/>
  <c r="BH4" i="4"/>
  <c r="BE4" i="4"/>
  <c r="BB76" i="4"/>
  <c r="AY76" i="4"/>
  <c r="AV76" i="4"/>
  <c r="AS76" i="4"/>
  <c r="AT76" i="4" s="1"/>
  <c r="BB71" i="4"/>
  <c r="AY71" i="4"/>
  <c r="AV71" i="4"/>
  <c r="AS71" i="4"/>
  <c r="AT71" i="4" s="1"/>
  <c r="BB68" i="4"/>
  <c r="AY68" i="4"/>
  <c r="AV68" i="4"/>
  <c r="AS68" i="4"/>
  <c r="AT68" i="4" s="1"/>
  <c r="BB64" i="4"/>
  <c r="AY64" i="4"/>
  <c r="AV64" i="4"/>
  <c r="AS64" i="4"/>
  <c r="AT64" i="4" s="1"/>
  <c r="BB61" i="4"/>
  <c r="AY61" i="4"/>
  <c r="AV61" i="4"/>
  <c r="AS61" i="4"/>
  <c r="AT61" i="4" s="1"/>
  <c r="BB55" i="4"/>
  <c r="AY55" i="4"/>
  <c r="AV55" i="4"/>
  <c r="AS55" i="4"/>
  <c r="AT55" i="4" s="1"/>
  <c r="BB44" i="4"/>
  <c r="AY44" i="4"/>
  <c r="AV44" i="4"/>
  <c r="AS44" i="4"/>
  <c r="BB37" i="4"/>
  <c r="AY37" i="4"/>
  <c r="AV37" i="4"/>
  <c r="AS37" i="4"/>
  <c r="AY26" i="4"/>
  <c r="AV26" i="4"/>
  <c r="AS26" i="4"/>
  <c r="BB14" i="4"/>
  <c r="AY14" i="4"/>
  <c r="AV14" i="4"/>
  <c r="AS14" i="4"/>
  <c r="BB4" i="4"/>
  <c r="AY4" i="4"/>
  <c r="AV4" i="4"/>
  <c r="AS4" i="4"/>
  <c r="BE25" i="4" l="1"/>
  <c r="BX61" i="4"/>
  <c r="BC61" i="4"/>
  <c r="BC68" i="4"/>
  <c r="BC76" i="4"/>
  <c r="AW61" i="4"/>
  <c r="AW76" i="4"/>
  <c r="AW68" i="4"/>
  <c r="AZ61" i="4"/>
  <c r="AZ68" i="4"/>
  <c r="AZ76" i="4"/>
  <c r="BU61" i="4"/>
  <c r="BU68" i="4"/>
  <c r="BU76" i="4"/>
  <c r="CK4" i="4"/>
  <c r="BA4" i="4"/>
  <c r="AZ4" i="4"/>
  <c r="CK26" i="4"/>
  <c r="AZ26" i="4"/>
  <c r="BA26" i="4"/>
  <c r="BB43" i="4"/>
  <c r="BD44" i="4"/>
  <c r="BC44" i="4"/>
  <c r="BY55" i="4"/>
  <c r="BX55" i="4"/>
  <c r="BY64" i="4"/>
  <c r="BX64" i="4"/>
  <c r="BX68" i="4"/>
  <c r="BY71" i="4"/>
  <c r="BX71" i="4"/>
  <c r="BX76" i="4"/>
  <c r="AW55" i="4"/>
  <c r="AW64" i="4"/>
  <c r="AW71" i="4"/>
  <c r="BF55" i="4"/>
  <c r="BG55" i="4"/>
  <c r="BF64" i="4"/>
  <c r="BG64" i="4"/>
  <c r="BF71" i="4"/>
  <c r="BG71" i="4"/>
  <c r="CH14" i="4"/>
  <c r="AX14" i="4"/>
  <c r="AW14" i="4"/>
  <c r="AZ55" i="4"/>
  <c r="AZ64" i="4"/>
  <c r="AZ71" i="4"/>
  <c r="BJ55" i="4"/>
  <c r="BI55" i="4"/>
  <c r="BJ64" i="4"/>
  <c r="BI64" i="4"/>
  <c r="BJ71" i="4"/>
  <c r="BI71" i="4"/>
  <c r="CH37" i="4"/>
  <c r="AX37" i="4"/>
  <c r="AW37" i="4"/>
  <c r="CK14" i="4"/>
  <c r="BA14" i="4"/>
  <c r="AZ14" i="4"/>
  <c r="BD37" i="4"/>
  <c r="BC37" i="4"/>
  <c r="BC55" i="4"/>
  <c r="BC64" i="4"/>
  <c r="BC71" i="4"/>
  <c r="BM55" i="4"/>
  <c r="BL55" i="4"/>
  <c r="BL64" i="4"/>
  <c r="BM64" i="4"/>
  <c r="BL71" i="4"/>
  <c r="BM71" i="4"/>
  <c r="AU37" i="4"/>
  <c r="AT37" i="4"/>
  <c r="CB55" i="4"/>
  <c r="CA55" i="4"/>
  <c r="AU14" i="4"/>
  <c r="AT14" i="4"/>
  <c r="CK37" i="4"/>
  <c r="AZ37" i="4"/>
  <c r="BA37" i="4"/>
  <c r="CN14" i="4"/>
  <c r="BD14" i="4"/>
  <c r="BC14" i="4"/>
  <c r="AS43" i="4"/>
  <c r="AU44" i="4"/>
  <c r="AT44" i="4"/>
  <c r="BO55" i="4"/>
  <c r="BP55" i="4"/>
  <c r="BP64" i="4"/>
  <c r="BO64" i="4"/>
  <c r="BP71" i="4"/>
  <c r="BO71" i="4"/>
  <c r="CA64" i="4"/>
  <c r="CB64" i="4"/>
  <c r="AU4" i="4"/>
  <c r="AT4" i="4"/>
  <c r="AU26" i="4"/>
  <c r="AT26" i="4"/>
  <c r="AV43" i="4"/>
  <c r="AX44" i="4"/>
  <c r="AW44" i="4"/>
  <c r="BQ62" i="4"/>
  <c r="BS55" i="4"/>
  <c r="BR55" i="4"/>
  <c r="BQ69" i="4"/>
  <c r="BS64" i="4"/>
  <c r="BR64" i="4"/>
  <c r="BQ77" i="4"/>
  <c r="BS71" i="4"/>
  <c r="BR71" i="4"/>
  <c r="CN4" i="4"/>
  <c r="BD4" i="4"/>
  <c r="BC4" i="4"/>
  <c r="BZ77" i="4"/>
  <c r="CA71" i="4"/>
  <c r="CB71" i="4"/>
  <c r="CH4" i="4"/>
  <c r="AX4" i="4"/>
  <c r="AW4" i="4"/>
  <c r="CH26" i="4"/>
  <c r="AX26" i="4"/>
  <c r="AW26" i="4"/>
  <c r="AY43" i="4"/>
  <c r="BA44" i="4"/>
  <c r="AZ44" i="4"/>
  <c r="BU55" i="4"/>
  <c r="BV55" i="4"/>
  <c r="BU64" i="4"/>
  <c r="BV64" i="4"/>
  <c r="BU71" i="4"/>
  <c r="BV71" i="4"/>
  <c r="CN26" i="4"/>
  <c r="BD26" i="4"/>
  <c r="BC26" i="4"/>
  <c r="R61" i="11"/>
  <c r="CA61" i="4"/>
  <c r="CA68" i="4"/>
  <c r="BW69" i="4"/>
  <c r="BW77" i="4"/>
  <c r="CA76" i="4"/>
  <c r="BF68" i="4"/>
  <c r="BS68" i="4"/>
  <c r="BG68" i="4"/>
  <c r="BG76" i="4"/>
  <c r="BF76" i="4"/>
  <c r="BS76" i="4"/>
  <c r="BJ61" i="4"/>
  <c r="BV61" i="4"/>
  <c r="BV68" i="4"/>
  <c r="BI68" i="4"/>
  <c r="BJ68" i="4"/>
  <c r="BJ76" i="4"/>
  <c r="BV76" i="4"/>
  <c r="BI76" i="4"/>
  <c r="BY68" i="4"/>
  <c r="BM68" i="4"/>
  <c r="BL68" i="4"/>
  <c r="BM76" i="4"/>
  <c r="BL76" i="4"/>
  <c r="BY76" i="4"/>
  <c r="BR76" i="4"/>
  <c r="BO76" i="4"/>
  <c r="BP76" i="4"/>
  <c r="CB76" i="4"/>
  <c r="BM61" i="4"/>
  <c r="BL61" i="4"/>
  <c r="BY61" i="4"/>
  <c r="BP68" i="4"/>
  <c r="CB68" i="4"/>
  <c r="BR68" i="4"/>
  <c r="BO68" i="4"/>
  <c r="CB61" i="4"/>
  <c r="BO61" i="4"/>
  <c r="BR61" i="4"/>
  <c r="BP61" i="4"/>
  <c r="BG61" i="4"/>
  <c r="BI61" i="4"/>
  <c r="BS61" i="4"/>
  <c r="BF61" i="4"/>
  <c r="BT62" i="4"/>
  <c r="BW62" i="4"/>
  <c r="BZ62" i="4"/>
  <c r="R62" i="11" s="1"/>
  <c r="BX14" i="4"/>
  <c r="BU4" i="4"/>
  <c r="BU14" i="4"/>
  <c r="BX37" i="4"/>
  <c r="CA4" i="4"/>
  <c r="BX44" i="4"/>
  <c r="BW3" i="4"/>
  <c r="CA37" i="4"/>
  <c r="CA14" i="4"/>
  <c r="BM4" i="4"/>
  <c r="BF4" i="4"/>
  <c r="BG4" i="4"/>
  <c r="BI4" i="4"/>
  <c r="BT3" i="4"/>
  <c r="BG37" i="4"/>
  <c r="BZ69" i="4"/>
  <c r="BJ37" i="4"/>
  <c r="BU44" i="4"/>
  <c r="CA44" i="4"/>
  <c r="BV4" i="4"/>
  <c r="CB26" i="4"/>
  <c r="CB37" i="4"/>
  <c r="BS44" i="4"/>
  <c r="BJ4" i="4"/>
  <c r="BW43" i="4"/>
  <c r="AS62" i="4"/>
  <c r="AS69" i="4"/>
  <c r="AS77" i="4"/>
  <c r="BY4" i="4"/>
  <c r="BU37" i="4"/>
  <c r="AV62" i="4"/>
  <c r="BK77" i="4"/>
  <c r="CH44" i="4"/>
  <c r="AV69" i="4"/>
  <c r="AV77" i="4"/>
  <c r="BE3" i="4"/>
  <c r="BX26" i="4"/>
  <c r="BW25" i="4"/>
  <c r="CA25" i="4" s="1"/>
  <c r="CA26" i="4"/>
  <c r="BU26" i="4"/>
  <c r="BT77" i="4"/>
  <c r="BT69" i="4"/>
  <c r="BS4" i="4"/>
  <c r="BV44" i="4"/>
  <c r="BV14" i="4"/>
  <c r="BY44" i="4"/>
  <c r="BX4" i="4"/>
  <c r="BT43" i="4"/>
  <c r="BU43" i="4" s="1"/>
  <c r="BY14" i="4"/>
  <c r="BZ51" i="4"/>
  <c r="BR44" i="4"/>
  <c r="BR4" i="4"/>
  <c r="CB14" i="4"/>
  <c r="BQ25" i="4"/>
  <c r="BQ51" i="4" s="1"/>
  <c r="BP4" i="4"/>
  <c r="CB4" i="4"/>
  <c r="BN25" i="4"/>
  <c r="CB25" i="4" s="1"/>
  <c r="BP26" i="4"/>
  <c r="BR26" i="4"/>
  <c r="BO26" i="4"/>
  <c r="BM26" i="4"/>
  <c r="BL26" i="4"/>
  <c r="BK3" i="4"/>
  <c r="BK25" i="4"/>
  <c r="BL4" i="4"/>
  <c r="BO4" i="4"/>
  <c r="BY26" i="4"/>
  <c r="BK69" i="4"/>
  <c r="BJ26" i="4"/>
  <c r="BI26" i="4"/>
  <c r="BH25" i="4"/>
  <c r="BI25" i="4" s="1"/>
  <c r="BV26" i="4"/>
  <c r="BF26" i="4"/>
  <c r="BG26" i="4"/>
  <c r="BS26" i="4"/>
  <c r="BI14" i="4"/>
  <c r="BS14" i="4"/>
  <c r="BI44" i="4"/>
  <c r="BI37" i="4"/>
  <c r="BS37" i="4"/>
  <c r="BJ14" i="4"/>
  <c r="BV37" i="4"/>
  <c r="BJ44" i="4"/>
  <c r="BN3" i="4"/>
  <c r="BL14" i="4"/>
  <c r="BL37" i="4"/>
  <c r="BL44" i="4"/>
  <c r="BM14" i="4"/>
  <c r="BM37" i="4"/>
  <c r="BY37" i="4"/>
  <c r="BM44" i="4"/>
  <c r="CK44" i="4"/>
  <c r="BO14" i="4"/>
  <c r="BO37" i="4"/>
  <c r="BO44" i="4"/>
  <c r="BP14" i="4"/>
  <c r="BP37" i="4"/>
  <c r="CN37" i="4"/>
  <c r="BP44" i="4"/>
  <c r="CB44" i="4"/>
  <c r="CN44" i="4"/>
  <c r="BF14" i="4"/>
  <c r="BR14" i="4"/>
  <c r="BF37" i="4"/>
  <c r="BR37" i="4"/>
  <c r="BF44" i="4"/>
  <c r="BG14" i="4"/>
  <c r="BG44" i="4"/>
  <c r="BH43" i="4"/>
  <c r="BE43" i="4"/>
  <c r="BB3" i="4"/>
  <c r="AY62" i="4"/>
  <c r="AY69" i="4"/>
  <c r="AY77" i="4"/>
  <c r="BH3" i="4"/>
  <c r="BZ3" i="4"/>
  <c r="BK43" i="4"/>
  <c r="BK62" i="4"/>
  <c r="BQ3" i="4"/>
  <c r="BT25" i="4"/>
  <c r="BN43" i="4"/>
  <c r="CB43" i="4" s="1"/>
  <c r="BE62" i="4"/>
  <c r="BE69" i="4"/>
  <c r="BE77" i="4"/>
  <c r="BH62" i="4"/>
  <c r="BH69" i="4"/>
  <c r="BH77" i="4"/>
  <c r="BN62" i="4"/>
  <c r="BN69" i="4"/>
  <c r="BN77" i="4"/>
  <c r="AS3" i="4"/>
  <c r="AS25" i="4"/>
  <c r="AY25" i="4"/>
  <c r="BB25" i="4"/>
  <c r="AV25" i="4"/>
  <c r="AV3" i="4"/>
  <c r="AY3" i="4"/>
  <c r="BB62" i="4"/>
  <c r="BB69" i="4"/>
  <c r="BB77" i="4"/>
  <c r="BZ52" i="4" l="1"/>
  <c r="BW51" i="4"/>
  <c r="CA51" i="4" s="1"/>
  <c r="BQ52" i="4"/>
  <c r="CN3" i="4"/>
  <c r="BD3" i="4"/>
  <c r="BC3" i="4"/>
  <c r="BF25" i="4"/>
  <c r="BD25" i="4"/>
  <c r="BC25" i="4"/>
  <c r="CK3" i="4"/>
  <c r="BA3" i="4"/>
  <c r="AZ3" i="4"/>
  <c r="CH3" i="4"/>
  <c r="AX3" i="4"/>
  <c r="AW3" i="4"/>
  <c r="BA25" i="4"/>
  <c r="AZ25" i="4"/>
  <c r="CA43" i="4"/>
  <c r="BG25" i="4"/>
  <c r="AU25" i="4"/>
  <c r="AT25" i="4"/>
  <c r="AU43" i="4"/>
  <c r="AT43" i="4"/>
  <c r="AX25" i="4"/>
  <c r="AW25" i="4"/>
  <c r="AT3" i="4"/>
  <c r="AU3" i="4"/>
  <c r="CK43" i="4"/>
  <c r="BA43" i="4"/>
  <c r="AZ43" i="4"/>
  <c r="CH43" i="4"/>
  <c r="AX43" i="4"/>
  <c r="AW43" i="4"/>
  <c r="CN43" i="4"/>
  <c r="BD43" i="4"/>
  <c r="BC43" i="4"/>
  <c r="BX3" i="4"/>
  <c r="CA3" i="4"/>
  <c r="BY25" i="4"/>
  <c r="BY3" i="4"/>
  <c r="AY51" i="4"/>
  <c r="AY52" i="4" s="1"/>
  <c r="CK25" i="4"/>
  <c r="AV51" i="4"/>
  <c r="AV52" i="4" s="1"/>
  <c r="CH25" i="4"/>
  <c r="BG3" i="4"/>
  <c r="BF3" i="4"/>
  <c r="BM3" i="4"/>
  <c r="BS25" i="4"/>
  <c r="BX43" i="4"/>
  <c r="BR25" i="4"/>
  <c r="BP25" i="4"/>
  <c r="BO25" i="4"/>
  <c r="BM25" i="4"/>
  <c r="BJ25" i="4"/>
  <c r="BL25" i="4"/>
  <c r="BS43" i="4"/>
  <c r="BG43" i="4"/>
  <c r="BF43" i="4"/>
  <c r="BI3" i="4"/>
  <c r="BV3" i="4"/>
  <c r="BJ3" i="4"/>
  <c r="BI43" i="4"/>
  <c r="BV43" i="4"/>
  <c r="BJ43" i="4"/>
  <c r="BY43" i="4"/>
  <c r="BM43" i="4"/>
  <c r="BL43" i="4"/>
  <c r="CN25" i="4"/>
  <c r="BV25" i="4"/>
  <c r="BU25" i="4"/>
  <c r="BX25" i="4"/>
  <c r="CB3" i="4"/>
  <c r="BP3" i="4"/>
  <c r="BO3" i="4"/>
  <c r="BN51" i="4"/>
  <c r="BN52" i="4" s="1"/>
  <c r="BR43" i="4"/>
  <c r="BP43" i="4"/>
  <c r="BO43" i="4"/>
  <c r="BS3" i="4"/>
  <c r="BR3" i="4"/>
  <c r="BU3" i="4"/>
  <c r="BL3" i="4"/>
  <c r="BT51" i="4"/>
  <c r="BT52" i="4" s="1"/>
  <c r="BE51" i="4"/>
  <c r="BE52" i="4" s="1"/>
  <c r="BH51" i="4"/>
  <c r="BH52" i="4" s="1"/>
  <c r="BK51" i="4"/>
  <c r="BK52" i="4" s="1"/>
  <c r="BB51" i="4"/>
  <c r="BB52" i="4" s="1"/>
  <c r="AS51" i="4"/>
  <c r="AS52" i="4" s="1"/>
  <c r="BW52" i="4" l="1"/>
  <c r="CN51" i="4"/>
  <c r="BC51" i="4"/>
  <c r="BD51" i="4"/>
  <c r="CK51" i="4"/>
  <c r="BA51" i="4"/>
  <c r="AZ51" i="4"/>
  <c r="AU51" i="4"/>
  <c r="AT51" i="4"/>
  <c r="CH51" i="4"/>
  <c r="AX51" i="4"/>
  <c r="AW51" i="4"/>
  <c r="BI51" i="4"/>
  <c r="BJ51" i="4"/>
  <c r="BG51" i="4"/>
  <c r="BF51" i="4"/>
  <c r="BS51" i="4"/>
  <c r="BU51" i="4"/>
  <c r="BV51" i="4"/>
  <c r="BX51" i="4"/>
  <c r="BP51" i="4"/>
  <c r="BO51" i="4"/>
  <c r="CB51" i="4"/>
  <c r="BR51" i="4"/>
  <c r="BY51" i="4"/>
  <c r="BM51" i="4"/>
  <c r="BL51" i="4"/>
  <c r="D42" i="11" l="1"/>
  <c r="C42" i="11"/>
  <c r="D41" i="11"/>
  <c r="C41" i="11"/>
  <c r="D40" i="11"/>
  <c r="C40" i="11"/>
  <c r="D39" i="11"/>
  <c r="C39" i="11"/>
  <c r="D43" i="11"/>
  <c r="D44" i="11"/>
  <c r="C45" i="11"/>
  <c r="D45" i="11"/>
  <c r="C46" i="11"/>
  <c r="D46" i="11"/>
  <c r="C47" i="11"/>
  <c r="D47" i="11"/>
  <c r="C48" i="11"/>
  <c r="D48" i="11"/>
  <c r="C49" i="11"/>
  <c r="D49" i="11"/>
  <c r="D50" i="11"/>
  <c r="D51" i="11"/>
  <c r="C38" i="11"/>
  <c r="D38" i="11"/>
  <c r="CC26" i="4"/>
  <c r="CE26" i="4" l="1"/>
  <c r="CD26" i="4"/>
  <c r="CG26" i="4"/>
  <c r="BX36" i="10"/>
  <c r="BW36" i="10"/>
  <c r="CA36" i="10"/>
  <c r="BZ36" i="10"/>
  <c r="F7" i="22"/>
  <c r="F11" i="22"/>
  <c r="F10" i="22"/>
  <c r="A3" i="4"/>
  <c r="A4" i="4" s="1"/>
  <c r="A5" i="4" s="1"/>
  <c r="A6" i="4" s="1"/>
  <c r="A7" i="4" s="1"/>
  <c r="A8" i="4" s="1"/>
  <c r="A13" i="18"/>
  <c r="A14" i="18"/>
  <c r="A3" i="18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E13" i="18"/>
  <c r="G13" i="18"/>
  <c r="D13" i="18"/>
  <c r="C17" i="18" l="1"/>
  <c r="A17" i="18" s="1"/>
  <c r="C15" i="18"/>
  <c r="A15" i="18" s="1"/>
  <c r="C11" i="18"/>
  <c r="A11" i="18" s="1"/>
  <c r="C9" i="18"/>
  <c r="A9" i="18" s="1"/>
  <c r="C7" i="18"/>
  <c r="A7" i="18" s="1"/>
  <c r="C5" i="18"/>
  <c r="A5" i="18" s="1"/>
  <c r="C15" i="21"/>
  <c r="B15" i="21"/>
  <c r="C14" i="21"/>
  <c r="B14" i="21"/>
  <c r="C13" i="21"/>
  <c r="B13" i="21"/>
  <c r="C12" i="21"/>
  <c r="B12" i="21"/>
  <c r="C11" i="21"/>
  <c r="B11" i="21"/>
  <c r="C10" i="21"/>
  <c r="B10" i="21"/>
  <c r="C9" i="21"/>
  <c r="B9" i="21"/>
  <c r="C8" i="21"/>
  <c r="B8" i="21"/>
  <c r="C7" i="21"/>
  <c r="B7" i="21"/>
  <c r="C6" i="21"/>
  <c r="A6" i="21" s="1"/>
  <c r="A7" i="21" s="1"/>
  <c r="A8" i="21" s="1"/>
  <c r="B6" i="21"/>
  <c r="A27" i="26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27" i="8"/>
  <c r="A28" i="8" s="1"/>
  <c r="A29" i="8" s="1"/>
  <c r="A30" i="8" s="1"/>
  <c r="A4" i="26"/>
  <c r="A5" i="26" s="1"/>
  <c r="A6" i="26" s="1"/>
  <c r="A7" i="26" s="1"/>
  <c r="A8" i="26" s="1"/>
  <c r="A9" i="26" s="1"/>
  <c r="A10" i="26" s="1"/>
  <c r="A11" i="26" s="1"/>
  <c r="A12" i="26" s="1"/>
  <c r="A4" i="8"/>
  <c r="A21" i="18" s="1"/>
  <c r="A3" i="20"/>
  <c r="D3" i="20" s="1"/>
  <c r="A13" i="26" l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5" i="8"/>
  <c r="A4" i="20" s="1"/>
  <c r="D4" i="20" s="1"/>
  <c r="A31" i="8"/>
  <c r="A32" i="8" s="1"/>
  <c r="A33" i="8" s="1"/>
  <c r="A34" i="8" s="1"/>
  <c r="A35" i="8" s="1"/>
  <c r="A36" i="8" s="1"/>
  <c r="A9" i="21"/>
  <c r="A10" i="21" s="1"/>
  <c r="A11" i="21" s="1"/>
  <c r="D21" i="18"/>
  <c r="D18" i="18" s="1"/>
  <c r="E21" i="18"/>
  <c r="G21" i="18"/>
  <c r="D17" i="18"/>
  <c r="E17" i="18"/>
  <c r="G17" i="18"/>
  <c r="G7" i="18"/>
  <c r="D7" i="18"/>
  <c r="E7" i="18"/>
  <c r="G9" i="18"/>
  <c r="D9" i="18"/>
  <c r="E9" i="18"/>
  <c r="E11" i="18"/>
  <c r="G11" i="18"/>
  <c r="D11" i="18"/>
  <c r="D15" i="18"/>
  <c r="G15" i="18"/>
  <c r="E15" i="18"/>
  <c r="E3" i="20"/>
  <c r="G3" i="20"/>
  <c r="A6" i="8" l="1"/>
  <c r="A7" i="8" s="1"/>
  <c r="A8" i="8" s="1"/>
  <c r="A9" i="8" s="1"/>
  <c r="G14" i="18"/>
  <c r="G18" i="18"/>
  <c r="E14" i="18"/>
  <c r="E18" i="18"/>
  <c r="A12" i="21"/>
  <c r="A13" i="21" s="1"/>
  <c r="A14" i="21" s="1"/>
  <c r="E4" i="20"/>
  <c r="E5" i="20" s="1"/>
  <c r="E10" i="18"/>
  <c r="G12" i="18"/>
  <c r="E12" i="18"/>
  <c r="E16" i="18"/>
  <c r="G10" i="18"/>
  <c r="G16" i="18"/>
  <c r="E8" i="18"/>
  <c r="G8" i="18"/>
  <c r="A37" i="8"/>
  <c r="A38" i="8" s="1"/>
  <c r="A39" i="8" s="1"/>
  <c r="A40" i="8" s="1"/>
  <c r="A41" i="8" s="1"/>
  <c r="A15" i="21"/>
  <c r="A6" i="20" l="1"/>
  <c r="A10" i="8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8" i="20"/>
  <c r="E8" i="20" l="1"/>
  <c r="E9" i="20" s="1"/>
  <c r="D8" i="20"/>
  <c r="A10" i="20"/>
  <c r="A12" i="20" l="1"/>
  <c r="A13" i="20"/>
  <c r="E12" i="20" l="1"/>
  <c r="G12" i="20"/>
  <c r="D12" i="20"/>
  <c r="G13" i="20"/>
  <c r="D13" i="20"/>
  <c r="E13" i="20"/>
  <c r="A14" i="20"/>
  <c r="F12" i="20" l="1"/>
  <c r="H12" i="20"/>
  <c r="G14" i="20"/>
  <c r="D14" i="20"/>
  <c r="E14" i="20"/>
  <c r="A15" i="20"/>
  <c r="D15" i="20" l="1"/>
  <c r="E15" i="20"/>
  <c r="G15" i="20"/>
  <c r="A16" i="20"/>
  <c r="A17" i="20" l="1"/>
  <c r="A18" i="20" l="1"/>
  <c r="G18" i="20" l="1"/>
  <c r="G19" i="20" s="1"/>
  <c r="A20" i="20"/>
  <c r="S17" i="11" l="1"/>
  <c r="C3" i="5"/>
  <c r="B3" i="5"/>
  <c r="C2" i="5"/>
  <c r="B2" i="5"/>
  <c r="P75" i="11"/>
  <c r="Q75" i="11" s="1"/>
  <c r="P71" i="11"/>
  <c r="Q71" i="11" s="1"/>
  <c r="P68" i="11"/>
  <c r="Q68" i="11" s="1"/>
  <c r="CC76" i="4"/>
  <c r="CG76" i="4" s="1"/>
  <c r="C36" i="11"/>
  <c r="C35" i="11"/>
  <c r="C34" i="11"/>
  <c r="C33" i="11"/>
  <c r="C32" i="11"/>
  <c r="C31" i="11"/>
  <c r="C30" i="11"/>
  <c r="C29" i="11"/>
  <c r="C27" i="11"/>
  <c r="C24" i="11"/>
  <c r="C23" i="11"/>
  <c r="C22" i="11"/>
  <c r="C21" i="11"/>
  <c r="C20" i="11"/>
  <c r="C19" i="11"/>
  <c r="C18" i="11"/>
  <c r="C17" i="11"/>
  <c r="C16" i="11"/>
  <c r="C15" i="11"/>
  <c r="C13" i="11"/>
  <c r="C12" i="11"/>
  <c r="C11" i="11"/>
  <c r="C10" i="11"/>
  <c r="C8" i="11"/>
  <c r="C7" i="11"/>
  <c r="C6" i="11"/>
  <c r="C5" i="11"/>
  <c r="D37" i="11"/>
  <c r="D36" i="11"/>
  <c r="D35" i="11"/>
  <c r="D34" i="11"/>
  <c r="D33" i="11"/>
  <c r="D32" i="11"/>
  <c r="D31" i="11"/>
  <c r="D30" i="11"/>
  <c r="D29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8" i="11"/>
  <c r="D7" i="11"/>
  <c r="D6" i="11"/>
  <c r="D5" i="11"/>
  <c r="D4" i="11"/>
  <c r="B51" i="11"/>
  <c r="B50" i="11"/>
  <c r="B44" i="11"/>
  <c r="B43" i="11"/>
  <c r="B37" i="11"/>
  <c r="B26" i="11"/>
  <c r="B25" i="11"/>
  <c r="B14" i="11"/>
  <c r="B3" i="11"/>
  <c r="D3" i="11"/>
  <c r="B4" i="11"/>
  <c r="S49" i="11"/>
  <c r="S48" i="11"/>
  <c r="S47" i="11"/>
  <c r="S46" i="11"/>
  <c r="S45" i="11"/>
  <c r="S41" i="11"/>
  <c r="S40" i="11"/>
  <c r="S39" i="11"/>
  <c r="S36" i="11"/>
  <c r="S35" i="11"/>
  <c r="S34" i="11"/>
  <c r="S33" i="11"/>
  <c r="R71" i="11"/>
  <c r="S31" i="11"/>
  <c r="S30" i="11"/>
  <c r="S29" i="11"/>
  <c r="S27" i="11"/>
  <c r="S24" i="11"/>
  <c r="S23" i="11"/>
  <c r="S22" i="11"/>
  <c r="S21" i="11"/>
  <c r="S20" i="11"/>
  <c r="S19" i="11"/>
  <c r="S18" i="11"/>
  <c r="S16" i="11"/>
  <c r="S13" i="11"/>
  <c r="S12" i="11"/>
  <c r="S11" i="11"/>
  <c r="S10" i="11"/>
  <c r="S8" i="11"/>
  <c r="S7" i="11"/>
  <c r="S6" i="11"/>
  <c r="S5" i="11"/>
  <c r="S50" i="11"/>
  <c r="S42" i="11"/>
  <c r="D26" i="7"/>
  <c r="D44" i="7" s="1"/>
  <c r="D27" i="7"/>
  <c r="D30" i="7"/>
  <c r="D33" i="7"/>
  <c r="D38" i="7"/>
  <c r="D39" i="7"/>
  <c r="F35" i="7"/>
  <c r="F34" i="7"/>
  <c r="E33" i="7"/>
  <c r="F32" i="7"/>
  <c r="F31" i="7"/>
  <c r="E30" i="7"/>
  <c r="E38" i="7"/>
  <c r="E27" i="7"/>
  <c r="B44" i="7"/>
  <c r="C41" i="7"/>
  <c r="B41" i="7"/>
  <c r="C40" i="7"/>
  <c r="B40" i="7"/>
  <c r="C39" i="7"/>
  <c r="B39" i="7"/>
  <c r="C38" i="7"/>
  <c r="B38" i="7"/>
  <c r="C37" i="7"/>
  <c r="B37" i="7"/>
  <c r="C36" i="7"/>
  <c r="B36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C27" i="7"/>
  <c r="B27" i="7"/>
  <c r="B26" i="7"/>
  <c r="C23" i="7"/>
  <c r="B23" i="7"/>
  <c r="C22" i="7"/>
  <c r="B22" i="7"/>
  <c r="C21" i="7"/>
  <c r="B21" i="7"/>
  <c r="C20" i="7"/>
  <c r="B20" i="7"/>
  <c r="C19" i="7"/>
  <c r="B19" i="7"/>
  <c r="C18" i="7"/>
  <c r="B18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4" i="7"/>
  <c r="B4" i="7"/>
  <c r="B3" i="7"/>
  <c r="CI36" i="10"/>
  <c r="CM35" i="10"/>
  <c r="CM32" i="10"/>
  <c r="CL32" i="10"/>
  <c r="CM9" i="10"/>
  <c r="CL9" i="10"/>
  <c r="CJ9" i="10"/>
  <c r="CI9" i="10"/>
  <c r="CG9" i="10"/>
  <c r="CM31" i="10"/>
  <c r="CL31" i="10"/>
  <c r="CM30" i="10"/>
  <c r="CM29" i="10"/>
  <c r="CL29" i="10"/>
  <c r="CM28" i="10"/>
  <c r="CL28" i="10"/>
  <c r="CM27" i="10"/>
  <c r="CL27" i="10"/>
  <c r="CM26" i="10"/>
  <c r="CL26" i="10"/>
  <c r="CM25" i="10"/>
  <c r="CL25" i="10"/>
  <c r="CM24" i="10"/>
  <c r="CL24" i="10"/>
  <c r="CM23" i="10"/>
  <c r="CL23" i="10"/>
  <c r="CM22" i="10"/>
  <c r="CL22" i="10"/>
  <c r="CM21" i="10"/>
  <c r="CL21" i="10"/>
  <c r="CM20" i="10"/>
  <c r="CL20" i="10"/>
  <c r="CM19" i="10"/>
  <c r="CL19" i="10"/>
  <c r="CM18" i="10"/>
  <c r="CL18" i="10"/>
  <c r="CM17" i="10"/>
  <c r="CL17" i="10"/>
  <c r="CM16" i="10"/>
  <c r="CL16" i="10"/>
  <c r="CM15" i="10"/>
  <c r="CL15" i="10"/>
  <c r="CM14" i="10"/>
  <c r="CL14" i="10"/>
  <c r="CM10" i="10"/>
  <c r="CL10" i="10"/>
  <c r="CJ10" i="10"/>
  <c r="CI10" i="10"/>
  <c r="CG10" i="10"/>
  <c r="CM13" i="10"/>
  <c r="CL13" i="10"/>
  <c r="CM12" i="10"/>
  <c r="CL12" i="10"/>
  <c r="CM8" i="10"/>
  <c r="CL8" i="10"/>
  <c r="CJ8" i="10"/>
  <c r="CI8" i="10"/>
  <c r="CG8" i="10"/>
  <c r="CM7" i="10"/>
  <c r="CL7" i="10"/>
  <c r="CJ7" i="10"/>
  <c r="CI7" i="10"/>
  <c r="CG7" i="10"/>
  <c r="CM6" i="10"/>
  <c r="CL6" i="10"/>
  <c r="CJ6" i="10"/>
  <c r="CI6" i="10"/>
  <c r="CG6" i="10"/>
  <c r="CM5" i="10"/>
  <c r="CL5" i="10"/>
  <c r="CJ5" i="10"/>
  <c r="CI5" i="10"/>
  <c r="CG5" i="10"/>
  <c r="CM4" i="10"/>
  <c r="CL4" i="10"/>
  <c r="CJ4" i="10"/>
  <c r="CI4" i="10"/>
  <c r="CG4" i="10"/>
  <c r="K15" i="18"/>
  <c r="K9" i="18"/>
  <c r="B3" i="27"/>
  <c r="C3" i="27"/>
  <c r="AE40" i="8"/>
  <c r="AD40" i="8"/>
  <c r="AB40" i="8"/>
  <c r="AA40" i="8"/>
  <c r="Y40" i="8"/>
  <c r="X40" i="8"/>
  <c r="V40" i="8"/>
  <c r="U40" i="8"/>
  <c r="S40" i="8"/>
  <c r="R40" i="8"/>
  <c r="P40" i="8"/>
  <c r="O40" i="8"/>
  <c r="M40" i="8"/>
  <c r="L40" i="8"/>
  <c r="AE39" i="8"/>
  <c r="AD39" i="8"/>
  <c r="AB39" i="8"/>
  <c r="AA39" i="8"/>
  <c r="Y39" i="8"/>
  <c r="X39" i="8"/>
  <c r="U39" i="8"/>
  <c r="R39" i="8"/>
  <c r="O39" i="8"/>
  <c r="AE38" i="8"/>
  <c r="AD38" i="8"/>
  <c r="AB38" i="8"/>
  <c r="AA38" i="8"/>
  <c r="Y38" i="8"/>
  <c r="X38" i="8"/>
  <c r="U38" i="8"/>
  <c r="R38" i="8"/>
  <c r="O38" i="8"/>
  <c r="AE37" i="8"/>
  <c r="AD37" i="8"/>
  <c r="AB37" i="8"/>
  <c r="AA37" i="8"/>
  <c r="Y37" i="8"/>
  <c r="X37" i="8"/>
  <c r="U37" i="8"/>
  <c r="R37" i="8"/>
  <c r="O37" i="8"/>
  <c r="AE36" i="8"/>
  <c r="AD36" i="8"/>
  <c r="AB36" i="8"/>
  <c r="AA36" i="8"/>
  <c r="Y36" i="8"/>
  <c r="X36" i="8"/>
  <c r="V36" i="8"/>
  <c r="U36" i="8"/>
  <c r="S36" i="8"/>
  <c r="R36" i="8"/>
  <c r="P36" i="8"/>
  <c r="O36" i="8"/>
  <c r="M36" i="8"/>
  <c r="L36" i="8"/>
  <c r="AE35" i="8"/>
  <c r="AD35" i="8"/>
  <c r="AB35" i="8"/>
  <c r="AA35" i="8"/>
  <c r="Y35" i="8"/>
  <c r="X35" i="8"/>
  <c r="V35" i="8"/>
  <c r="U35" i="8"/>
  <c r="S35" i="8"/>
  <c r="R35" i="8"/>
  <c r="P35" i="8"/>
  <c r="O35" i="8"/>
  <c r="M35" i="8"/>
  <c r="L35" i="8"/>
  <c r="AE34" i="8"/>
  <c r="AD34" i="8"/>
  <c r="AB34" i="8"/>
  <c r="AA34" i="8"/>
  <c r="Y34" i="8"/>
  <c r="X34" i="8"/>
  <c r="V34" i="8"/>
  <c r="U34" i="8"/>
  <c r="S34" i="8"/>
  <c r="R34" i="8"/>
  <c r="P34" i="8"/>
  <c r="O34" i="8"/>
  <c r="M34" i="8"/>
  <c r="L34" i="8"/>
  <c r="AE33" i="8"/>
  <c r="AD33" i="8"/>
  <c r="AB33" i="8"/>
  <c r="AA33" i="8"/>
  <c r="Y33" i="8"/>
  <c r="X33" i="8"/>
  <c r="U33" i="8"/>
  <c r="R33" i="8"/>
  <c r="O33" i="8"/>
  <c r="AE32" i="8"/>
  <c r="AD32" i="8"/>
  <c r="AB32" i="8"/>
  <c r="AA32" i="8"/>
  <c r="Y32" i="8"/>
  <c r="X32" i="8"/>
  <c r="V32" i="8"/>
  <c r="U32" i="8"/>
  <c r="S32" i="8"/>
  <c r="R32" i="8"/>
  <c r="P32" i="8"/>
  <c r="O32" i="8"/>
  <c r="M32" i="8"/>
  <c r="L32" i="8"/>
  <c r="AE31" i="8"/>
  <c r="AD31" i="8"/>
  <c r="AB31" i="8"/>
  <c r="AA31" i="8"/>
  <c r="Y31" i="8"/>
  <c r="X31" i="8"/>
  <c r="V31" i="8"/>
  <c r="U31" i="8"/>
  <c r="S31" i="8"/>
  <c r="R31" i="8"/>
  <c r="P31" i="8"/>
  <c r="O31" i="8"/>
  <c r="M31" i="8"/>
  <c r="L31" i="8"/>
  <c r="AE30" i="8"/>
  <c r="AD30" i="8"/>
  <c r="AB30" i="8"/>
  <c r="AA30" i="8"/>
  <c r="Y30" i="8"/>
  <c r="X30" i="8"/>
  <c r="U30" i="8"/>
  <c r="R30" i="8"/>
  <c r="O30" i="8"/>
  <c r="AE29" i="8"/>
  <c r="AD29" i="8"/>
  <c r="AB29" i="8"/>
  <c r="AA29" i="8"/>
  <c r="Y29" i="8"/>
  <c r="X29" i="8"/>
  <c r="V29" i="8"/>
  <c r="U29" i="8"/>
  <c r="S29" i="8"/>
  <c r="R29" i="8"/>
  <c r="P29" i="8"/>
  <c r="O29" i="8"/>
  <c r="M29" i="8"/>
  <c r="L29" i="8"/>
  <c r="AE28" i="8"/>
  <c r="AD28" i="8"/>
  <c r="AB28" i="8"/>
  <c r="AA28" i="8"/>
  <c r="Y28" i="8"/>
  <c r="X28" i="8"/>
  <c r="V28" i="8"/>
  <c r="U28" i="8"/>
  <c r="S28" i="8"/>
  <c r="R28" i="8"/>
  <c r="P28" i="8"/>
  <c r="O28" i="8"/>
  <c r="M28" i="8"/>
  <c r="L28" i="8"/>
  <c r="AE27" i="8"/>
  <c r="AD27" i="8"/>
  <c r="AB27" i="8"/>
  <c r="AA27" i="8"/>
  <c r="Y27" i="8"/>
  <c r="X27" i="8"/>
  <c r="U27" i="8"/>
  <c r="R27" i="8"/>
  <c r="O27" i="8"/>
  <c r="AE26" i="8"/>
  <c r="AD26" i="8"/>
  <c r="AB26" i="8"/>
  <c r="AA26" i="8"/>
  <c r="Y26" i="8"/>
  <c r="X26" i="8"/>
  <c r="V26" i="8"/>
  <c r="U26" i="8"/>
  <c r="S26" i="8"/>
  <c r="R26" i="8"/>
  <c r="P26" i="8"/>
  <c r="O26" i="8"/>
  <c r="M26" i="8"/>
  <c r="L26" i="8"/>
  <c r="AE22" i="8"/>
  <c r="AD22" i="8"/>
  <c r="AB22" i="8"/>
  <c r="AA22" i="8"/>
  <c r="Y22" i="8"/>
  <c r="X22" i="8"/>
  <c r="U22" i="8"/>
  <c r="R22" i="8"/>
  <c r="O22" i="8"/>
  <c r="AE21" i="8"/>
  <c r="AD21" i="8"/>
  <c r="AB21" i="8"/>
  <c r="AA21" i="8"/>
  <c r="Y21" i="8"/>
  <c r="X21" i="8"/>
  <c r="V21" i="8"/>
  <c r="U21" i="8"/>
  <c r="S21" i="8"/>
  <c r="R21" i="8"/>
  <c r="P21" i="8"/>
  <c r="O21" i="8"/>
  <c r="M21" i="8"/>
  <c r="L21" i="8"/>
  <c r="AE19" i="8"/>
  <c r="AD19" i="8"/>
  <c r="AB19" i="8"/>
  <c r="AA19" i="8"/>
  <c r="Y19" i="8"/>
  <c r="X19" i="8"/>
  <c r="U19" i="8"/>
  <c r="S19" i="8"/>
  <c r="R19" i="8"/>
  <c r="O19" i="8"/>
  <c r="AE18" i="8"/>
  <c r="AD18" i="8"/>
  <c r="AB18" i="8"/>
  <c r="AA18" i="8"/>
  <c r="Y18" i="8"/>
  <c r="X18" i="8"/>
  <c r="U18" i="8"/>
  <c r="R18" i="8"/>
  <c r="O18" i="8"/>
  <c r="AE17" i="8"/>
  <c r="AD17" i="8"/>
  <c r="AB17" i="8"/>
  <c r="AA17" i="8"/>
  <c r="Y17" i="8"/>
  <c r="X17" i="8"/>
  <c r="U17" i="8"/>
  <c r="R17" i="8"/>
  <c r="O17" i="8"/>
  <c r="AE16" i="8"/>
  <c r="AD16" i="8"/>
  <c r="AB16" i="8"/>
  <c r="AA16" i="8"/>
  <c r="Y16" i="8"/>
  <c r="X16" i="8"/>
  <c r="V16" i="8"/>
  <c r="U16" i="8"/>
  <c r="S16" i="8"/>
  <c r="R16" i="8"/>
  <c r="P16" i="8"/>
  <c r="O16" i="8"/>
  <c r="M16" i="8"/>
  <c r="L16" i="8"/>
  <c r="AE15" i="8"/>
  <c r="AD15" i="8"/>
  <c r="AB15" i="8"/>
  <c r="AA15" i="8"/>
  <c r="Y15" i="8"/>
  <c r="X15" i="8"/>
  <c r="V15" i="8"/>
  <c r="U15" i="8"/>
  <c r="S15" i="8"/>
  <c r="R15" i="8"/>
  <c r="P15" i="8"/>
  <c r="O15" i="8"/>
  <c r="M15" i="8"/>
  <c r="L15" i="8"/>
  <c r="AE14" i="8"/>
  <c r="AD14" i="8"/>
  <c r="AB14" i="8"/>
  <c r="AA14" i="8"/>
  <c r="Y14" i="8"/>
  <c r="X14" i="8"/>
  <c r="V14" i="8"/>
  <c r="U14" i="8"/>
  <c r="S14" i="8"/>
  <c r="R14" i="8"/>
  <c r="P14" i="8"/>
  <c r="O14" i="8"/>
  <c r="M14" i="8"/>
  <c r="L14" i="8"/>
  <c r="AE13" i="8"/>
  <c r="AD13" i="8"/>
  <c r="AB13" i="8"/>
  <c r="AA13" i="8"/>
  <c r="Y13" i="8"/>
  <c r="X13" i="8"/>
  <c r="V13" i="8"/>
  <c r="U13" i="8"/>
  <c r="S13" i="8"/>
  <c r="R13" i="8"/>
  <c r="P13" i="8"/>
  <c r="O13" i="8"/>
  <c r="M13" i="8"/>
  <c r="L13" i="8"/>
  <c r="AE11" i="8"/>
  <c r="AD11" i="8"/>
  <c r="AB11" i="8"/>
  <c r="AA11" i="8"/>
  <c r="Y11" i="8"/>
  <c r="X11" i="8"/>
  <c r="U11" i="8"/>
  <c r="S11" i="8"/>
  <c r="R11" i="8"/>
  <c r="O11" i="8"/>
  <c r="AE9" i="8"/>
  <c r="AD9" i="8"/>
  <c r="AB9" i="8"/>
  <c r="AA9" i="8"/>
  <c r="Y9" i="8"/>
  <c r="X9" i="8"/>
  <c r="V9" i="8"/>
  <c r="U9" i="8"/>
  <c r="R9" i="8"/>
  <c r="P9" i="8"/>
  <c r="O9" i="8"/>
  <c r="M9" i="8"/>
  <c r="L9" i="8"/>
  <c r="AE7" i="8"/>
  <c r="AD7" i="8"/>
  <c r="AB7" i="8"/>
  <c r="AA7" i="8"/>
  <c r="Y7" i="8"/>
  <c r="X7" i="8"/>
  <c r="U7" i="8"/>
  <c r="S7" i="8"/>
  <c r="R7" i="8"/>
  <c r="O7" i="8"/>
  <c r="AE5" i="8"/>
  <c r="AD5" i="8"/>
  <c r="AB5" i="8"/>
  <c r="AA5" i="8"/>
  <c r="Y5" i="8"/>
  <c r="X5" i="8"/>
  <c r="V5" i="8"/>
  <c r="U5" i="8"/>
  <c r="R5" i="8"/>
  <c r="P5" i="8"/>
  <c r="O5" i="8"/>
  <c r="M5" i="8"/>
  <c r="L5" i="8"/>
  <c r="AE4" i="8"/>
  <c r="AD4" i="8"/>
  <c r="AB4" i="8"/>
  <c r="AA4" i="8"/>
  <c r="Y4" i="8"/>
  <c r="X4" i="8"/>
  <c r="V4" i="8"/>
  <c r="U4" i="8"/>
  <c r="S4" i="8"/>
  <c r="R4" i="8"/>
  <c r="P4" i="8"/>
  <c r="O4" i="8"/>
  <c r="M4" i="8"/>
  <c r="L4" i="8"/>
  <c r="B44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B26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14" i="26"/>
  <c r="B14" i="26"/>
  <c r="C13" i="26"/>
  <c r="B13" i="26"/>
  <c r="C12" i="26"/>
  <c r="B12" i="26"/>
  <c r="C11" i="26"/>
  <c r="B11" i="26"/>
  <c r="C10" i="26"/>
  <c r="B10" i="26"/>
  <c r="C9" i="26"/>
  <c r="B9" i="26"/>
  <c r="C8" i="26"/>
  <c r="B8" i="26"/>
  <c r="C7" i="26"/>
  <c r="B7" i="26"/>
  <c r="C6" i="26"/>
  <c r="B6" i="26"/>
  <c r="C5" i="26"/>
  <c r="B5" i="26"/>
  <c r="C4" i="26"/>
  <c r="B4" i="26"/>
  <c r="B3" i="26"/>
  <c r="G26" i="26"/>
  <c r="G44" i="26" s="1"/>
  <c r="F26" i="26"/>
  <c r="F44" i="26" s="1"/>
  <c r="D39" i="26"/>
  <c r="D38" i="26"/>
  <c r="D33" i="26"/>
  <c r="D30" i="26"/>
  <c r="D27" i="26"/>
  <c r="H26" i="26"/>
  <c r="H44" i="26" s="1"/>
  <c r="E26" i="26"/>
  <c r="E44" i="26" s="1"/>
  <c r="D26" i="26"/>
  <c r="J40" i="8"/>
  <c r="I40" i="8"/>
  <c r="J36" i="8"/>
  <c r="I36" i="8"/>
  <c r="J35" i="8"/>
  <c r="I35" i="8"/>
  <c r="J34" i="8"/>
  <c r="I34" i="8"/>
  <c r="J32" i="8"/>
  <c r="I32" i="8"/>
  <c r="J31" i="8"/>
  <c r="I31" i="8"/>
  <c r="J29" i="8"/>
  <c r="I29" i="8"/>
  <c r="J28" i="8"/>
  <c r="I28" i="8"/>
  <c r="J9" i="8"/>
  <c r="J5" i="8"/>
  <c r="J4" i="8"/>
  <c r="I4" i="8"/>
  <c r="J16" i="8"/>
  <c r="I16" i="8"/>
  <c r="J15" i="8"/>
  <c r="I15" i="8"/>
  <c r="J14" i="8"/>
  <c r="I14" i="8"/>
  <c r="J13" i="8"/>
  <c r="I13" i="8"/>
  <c r="J21" i="8"/>
  <c r="I21" i="8"/>
  <c r="K3" i="18"/>
  <c r="H39" i="8"/>
  <c r="G39" i="8"/>
  <c r="S39" i="8" s="1"/>
  <c r="F39" i="8"/>
  <c r="P39" i="8" s="1"/>
  <c r="E39" i="8"/>
  <c r="M39" i="8" s="1"/>
  <c r="H38" i="8"/>
  <c r="V38" i="8" s="1"/>
  <c r="G38" i="8"/>
  <c r="S38" i="8" s="1"/>
  <c r="F38" i="8"/>
  <c r="P38" i="8" s="1"/>
  <c r="E38" i="8"/>
  <c r="M38" i="8" s="1"/>
  <c r="H33" i="8"/>
  <c r="H30" i="8"/>
  <c r="L30" i="8" s="1"/>
  <c r="F30" i="7" l="1"/>
  <c r="J7" i="18"/>
  <c r="J15" i="18"/>
  <c r="J9" i="18"/>
  <c r="J11" i="18"/>
  <c r="S71" i="11"/>
  <c r="CE76" i="4"/>
  <c r="CD76" i="4"/>
  <c r="P76" i="11"/>
  <c r="R75" i="11"/>
  <c r="S75" i="11" s="1"/>
  <c r="I38" i="8"/>
  <c r="H30" i="26"/>
  <c r="I30" i="26" s="1"/>
  <c r="J30" i="26" s="1"/>
  <c r="J13" i="20"/>
  <c r="J15" i="20"/>
  <c r="L33" i="8"/>
  <c r="K16" i="18"/>
  <c r="K3" i="20"/>
  <c r="K4" i="20"/>
  <c r="K8" i="20"/>
  <c r="K12" i="20"/>
  <c r="K13" i="20"/>
  <c r="K14" i="20"/>
  <c r="K15" i="20"/>
  <c r="H33" i="26"/>
  <c r="I33" i="26" s="1"/>
  <c r="J33" i="26" s="1"/>
  <c r="J4" i="20"/>
  <c r="L38" i="8"/>
  <c r="E38" i="26"/>
  <c r="F38" i="26" s="1"/>
  <c r="J8" i="20"/>
  <c r="L39" i="8"/>
  <c r="J12" i="20"/>
  <c r="H38" i="26"/>
  <c r="I38" i="26" s="1"/>
  <c r="J38" i="26" s="1"/>
  <c r="V30" i="8"/>
  <c r="V33" i="8"/>
  <c r="J14" i="20"/>
  <c r="I39" i="8"/>
  <c r="H39" i="26"/>
  <c r="I39" i="26" s="1"/>
  <c r="J39" i="26" s="1"/>
  <c r="V39" i="8"/>
  <c r="R68" i="11"/>
  <c r="S68" i="11" s="1"/>
  <c r="E5" i="18"/>
  <c r="E6" i="18" s="1"/>
  <c r="E3" i="18"/>
  <c r="J13" i="18"/>
  <c r="CG36" i="10"/>
  <c r="CJ36" i="10"/>
  <c r="G5" i="18"/>
  <c r="G6" i="18" s="1"/>
  <c r="G3" i="18"/>
  <c r="CM34" i="10"/>
  <c r="K13" i="18"/>
  <c r="K17" i="18"/>
  <c r="K7" i="18"/>
  <c r="K11" i="18"/>
  <c r="R64" i="11"/>
  <c r="R55" i="11"/>
  <c r="J21" i="18"/>
  <c r="J18" i="18" s="1"/>
  <c r="J3" i="20"/>
  <c r="D44" i="26"/>
  <c r="J14" i="21"/>
  <c r="J13" i="21"/>
  <c r="K15" i="21"/>
  <c r="J11" i="21"/>
  <c r="J15" i="21"/>
  <c r="J10" i="21"/>
  <c r="K10" i="21"/>
  <c r="K11" i="21"/>
  <c r="J8" i="21"/>
  <c r="K7" i="21"/>
  <c r="J7" i="21"/>
  <c r="K8" i="21"/>
  <c r="S32" i="11"/>
  <c r="S38" i="11"/>
  <c r="S15" i="11"/>
  <c r="D37" i="7"/>
  <c r="D58" i="7" s="1"/>
  <c r="F33" i="7"/>
  <c r="CL36" i="10"/>
  <c r="CM36" i="10"/>
  <c r="D37" i="26"/>
  <c r="D55" i="26" s="1"/>
  <c r="E39" i="26"/>
  <c r="K13" i="21"/>
  <c r="K14" i="21"/>
  <c r="D56" i="7" l="1"/>
  <c r="D57" i="7"/>
  <c r="D42" i="7"/>
  <c r="E4" i="18"/>
  <c r="E19" i="18"/>
  <c r="E20" i="18" s="1"/>
  <c r="G4" i="18"/>
  <c r="G19" i="18"/>
  <c r="G20" i="18" s="1"/>
  <c r="J17" i="18"/>
  <c r="D46" i="26"/>
  <c r="R76" i="11"/>
  <c r="K8" i="18"/>
  <c r="K4" i="18"/>
  <c r="J9" i="20"/>
  <c r="L12" i="20"/>
  <c r="K9" i="20"/>
  <c r="K5" i="20"/>
  <c r="D48" i="26"/>
  <c r="D54" i="26"/>
  <c r="D47" i="26"/>
  <c r="D57" i="26"/>
  <c r="K12" i="18"/>
  <c r="K14" i="18"/>
  <c r="J12" i="21"/>
  <c r="K10" i="18"/>
  <c r="D56" i="26"/>
  <c r="D53" i="26"/>
  <c r="D51" i="26"/>
  <c r="D45" i="26"/>
  <c r="K5" i="18"/>
  <c r="K19" i="18" s="1"/>
  <c r="R69" i="11"/>
  <c r="J5" i="20"/>
  <c r="J16" i="18"/>
  <c r="J10" i="18"/>
  <c r="J8" i="18"/>
  <c r="J12" i="18"/>
  <c r="J14" i="18"/>
  <c r="K12" i="21"/>
  <c r="J9" i="21"/>
  <c r="D49" i="7"/>
  <c r="D51" i="7"/>
  <c r="D54" i="7"/>
  <c r="D46" i="7"/>
  <c r="D53" i="7"/>
  <c r="D55" i="7"/>
  <c r="D50" i="7"/>
  <c r="K5" i="21"/>
  <c r="K4" i="21"/>
  <c r="K6" i="21"/>
  <c r="J5" i="21"/>
  <c r="J6" i="21"/>
  <c r="J4" i="21"/>
  <c r="K9" i="21"/>
  <c r="D47" i="7"/>
  <c r="D52" i="7"/>
  <c r="D48" i="7"/>
  <c r="D45" i="7"/>
  <c r="D52" i="26"/>
  <c r="D58" i="26"/>
  <c r="D42" i="26"/>
  <c r="D49" i="26"/>
  <c r="D50" i="26"/>
  <c r="G38" i="26"/>
  <c r="F39" i="26"/>
  <c r="J3" i="21" l="1"/>
  <c r="K6" i="18"/>
  <c r="K20" i="18"/>
  <c r="K3" i="21"/>
  <c r="G39" i="26"/>
  <c r="C58" i="8" l="1"/>
  <c r="B58" i="8"/>
  <c r="C57" i="8"/>
  <c r="B57" i="8"/>
  <c r="C56" i="8"/>
  <c r="B56" i="8"/>
  <c r="C55" i="8"/>
  <c r="B55" i="8"/>
  <c r="C54" i="8"/>
  <c r="B54" i="8"/>
  <c r="C53" i="8"/>
  <c r="B53" i="8"/>
  <c r="C52" i="8"/>
  <c r="B52" i="8"/>
  <c r="B51" i="8"/>
  <c r="C50" i="8"/>
  <c r="B50" i="8"/>
  <c r="C49" i="8"/>
  <c r="B49" i="8"/>
  <c r="C48" i="8"/>
  <c r="B48" i="8"/>
  <c r="C47" i="8"/>
  <c r="B47" i="8"/>
  <c r="C46" i="8"/>
  <c r="B46" i="8"/>
  <c r="C45" i="8"/>
  <c r="B45" i="8"/>
  <c r="B58" i="26" l="1"/>
  <c r="B58" i="7"/>
  <c r="C58" i="26"/>
  <c r="C58" i="7"/>
  <c r="B55" i="7"/>
  <c r="B55" i="26"/>
  <c r="C55" i="7"/>
  <c r="C55" i="26"/>
  <c r="B56" i="7"/>
  <c r="B56" i="26"/>
  <c r="C50" i="7"/>
  <c r="C50" i="26"/>
  <c r="B48" i="26"/>
  <c r="B48" i="7"/>
  <c r="C56" i="7"/>
  <c r="C56" i="26"/>
  <c r="B52" i="7"/>
  <c r="B52" i="26"/>
  <c r="B53" i="26"/>
  <c r="B53" i="7"/>
  <c r="B57" i="7"/>
  <c r="B57" i="26"/>
  <c r="B51" i="7"/>
  <c r="B51" i="26"/>
  <c r="B49" i="7"/>
  <c r="B49" i="26"/>
  <c r="C53" i="26"/>
  <c r="C53" i="7"/>
  <c r="C57" i="7"/>
  <c r="C57" i="26"/>
  <c r="B47" i="26"/>
  <c r="B47" i="7"/>
  <c r="C52" i="7"/>
  <c r="C52" i="26"/>
  <c r="B46" i="7"/>
  <c r="B46" i="26"/>
  <c r="B50" i="7"/>
  <c r="B50" i="26"/>
  <c r="C54" i="7"/>
  <c r="C54" i="26"/>
  <c r="C51" i="26"/>
  <c r="C51" i="7"/>
  <c r="C49" i="7"/>
  <c r="C49" i="26"/>
  <c r="C47" i="7"/>
  <c r="C47" i="26"/>
  <c r="C46" i="7"/>
  <c r="C46" i="26"/>
  <c r="C48" i="7"/>
  <c r="C48" i="26"/>
  <c r="B54" i="26"/>
  <c r="B54" i="7"/>
  <c r="C45" i="26"/>
  <c r="C45" i="7"/>
  <c r="B45" i="7"/>
  <c r="B45" i="26"/>
  <c r="F37" i="8"/>
  <c r="D39" i="8"/>
  <c r="J39" i="8" s="1"/>
  <c r="D38" i="8"/>
  <c r="J38" i="8" s="1"/>
  <c r="H37" i="8"/>
  <c r="G37" i="8"/>
  <c r="H27" i="8"/>
  <c r="E27" i="8"/>
  <c r="G27" i="8"/>
  <c r="S27" i="8" s="1"/>
  <c r="F27" i="8"/>
  <c r="P27" i="8" s="1"/>
  <c r="G33" i="8"/>
  <c r="F33" i="8"/>
  <c r="P33" i="8" s="1"/>
  <c r="E33" i="8"/>
  <c r="D33" i="8"/>
  <c r="J33" i="8" s="1"/>
  <c r="G30" i="8"/>
  <c r="F30" i="8"/>
  <c r="P30" i="8" s="1"/>
  <c r="E30" i="8"/>
  <c r="D30" i="8"/>
  <c r="J30" i="8" s="1"/>
  <c r="G26" i="8"/>
  <c r="G44" i="8" s="1"/>
  <c r="F26" i="8"/>
  <c r="F44" i="8" s="1"/>
  <c r="E26" i="8"/>
  <c r="E44" i="8" s="1"/>
  <c r="D26" i="8"/>
  <c r="H6" i="8"/>
  <c r="H7" i="8"/>
  <c r="H10" i="8"/>
  <c r="H26" i="8"/>
  <c r="H44" i="8" s="1"/>
  <c r="I26" i="8"/>
  <c r="J26" i="8"/>
  <c r="G6" i="20" l="1"/>
  <c r="G7" i="20" s="1"/>
  <c r="H7" i="26"/>
  <c r="I7" i="26" s="1"/>
  <c r="J7" i="26" s="1"/>
  <c r="S22" i="8"/>
  <c r="S30" i="8"/>
  <c r="I30" i="8"/>
  <c r="G4" i="20"/>
  <c r="G5" i="20" s="1"/>
  <c r="I5" i="8"/>
  <c r="S5" i="8"/>
  <c r="G8" i="20"/>
  <c r="G9" i="20" s="1"/>
  <c r="S9" i="8"/>
  <c r="I9" i="8"/>
  <c r="D44" i="8"/>
  <c r="D15" i="21"/>
  <c r="E14" i="21"/>
  <c r="G15" i="21"/>
  <c r="E13" i="21"/>
  <c r="G14" i="21"/>
  <c r="E11" i="21"/>
  <c r="G13" i="21"/>
  <c r="E10" i="21"/>
  <c r="G11" i="21"/>
  <c r="D14" i="21"/>
  <c r="G10" i="21"/>
  <c r="D13" i="21"/>
  <c r="E15" i="21"/>
  <c r="D10" i="21"/>
  <c r="G8" i="21"/>
  <c r="D11" i="21"/>
  <c r="D8" i="21"/>
  <c r="E8" i="21"/>
  <c r="G7" i="21"/>
  <c r="E7" i="21"/>
  <c r="D7" i="21"/>
  <c r="M33" i="8"/>
  <c r="E33" i="26"/>
  <c r="E6" i="20"/>
  <c r="E7" i="20" s="1"/>
  <c r="F42" i="8"/>
  <c r="P37" i="8"/>
  <c r="P7" i="8"/>
  <c r="M7" i="8"/>
  <c r="K6" i="20"/>
  <c r="K7" i="20" s="1"/>
  <c r="S17" i="8"/>
  <c r="M30" i="8"/>
  <c r="E30" i="26"/>
  <c r="M27" i="8"/>
  <c r="E27" i="26"/>
  <c r="L27" i="8"/>
  <c r="I27" i="8"/>
  <c r="V27" i="8"/>
  <c r="H27" i="26"/>
  <c r="I27" i="26" s="1"/>
  <c r="J27" i="26" s="1"/>
  <c r="H37" i="26"/>
  <c r="I37" i="26" s="1"/>
  <c r="L37" i="8"/>
  <c r="V37" i="8"/>
  <c r="H42" i="8"/>
  <c r="S18" i="8"/>
  <c r="D6" i="20"/>
  <c r="J7" i="8"/>
  <c r="L7" i="8"/>
  <c r="I7" i="8"/>
  <c r="V7" i="8"/>
  <c r="S37" i="8"/>
  <c r="I37" i="8"/>
  <c r="G42" i="8"/>
  <c r="I33" i="8"/>
  <c r="S33" i="8"/>
  <c r="H58" i="8"/>
  <c r="H50" i="8"/>
  <c r="H45" i="8"/>
  <c r="H54" i="8"/>
  <c r="H53" i="8"/>
  <c r="H57" i="8"/>
  <c r="H56" i="8"/>
  <c r="H48" i="8"/>
  <c r="H51" i="8"/>
  <c r="H46" i="8"/>
  <c r="H49" i="8"/>
  <c r="H52" i="8"/>
  <c r="H47" i="8"/>
  <c r="H55" i="8"/>
  <c r="G55" i="8"/>
  <c r="G51" i="8"/>
  <c r="G58" i="8"/>
  <c r="G50" i="8"/>
  <c r="G45" i="8"/>
  <c r="G46" i="8"/>
  <c r="G53" i="8"/>
  <c r="G56" i="8"/>
  <c r="G48" i="8"/>
  <c r="G57" i="8"/>
  <c r="G49" i="8"/>
  <c r="G52" i="8"/>
  <c r="G47" i="8"/>
  <c r="G54" i="8"/>
  <c r="F52" i="8"/>
  <c r="F47" i="8"/>
  <c r="F51" i="8"/>
  <c r="F55" i="8"/>
  <c r="F58" i="8"/>
  <c r="F50" i="8"/>
  <c r="F45" i="8"/>
  <c r="F48" i="8"/>
  <c r="F53" i="8"/>
  <c r="F56" i="8"/>
  <c r="F54" i="8"/>
  <c r="F57" i="8"/>
  <c r="F49" i="8"/>
  <c r="F46" i="8"/>
  <c r="E37" i="8"/>
  <c r="D37" i="8"/>
  <c r="D42" i="8" s="1"/>
  <c r="D27" i="8"/>
  <c r="J27" i="8" s="1"/>
  <c r="P22" i="8"/>
  <c r="H11" i="8"/>
  <c r="H8" i="8"/>
  <c r="H17" i="8" l="1"/>
  <c r="H17" i="26" s="1"/>
  <c r="I17" i="26" s="1"/>
  <c r="J17" i="26" s="1"/>
  <c r="H11" i="26"/>
  <c r="I8" i="26"/>
  <c r="J8" i="26"/>
  <c r="I42" i="26"/>
  <c r="J37" i="26"/>
  <c r="J8" i="8"/>
  <c r="I8" i="8"/>
  <c r="P11" i="8"/>
  <c r="D10" i="20"/>
  <c r="D11" i="20" s="1"/>
  <c r="G10" i="20"/>
  <c r="G11" i="20" s="1"/>
  <c r="I45" i="26"/>
  <c r="I55" i="26"/>
  <c r="I58" i="26"/>
  <c r="I53" i="26"/>
  <c r="I54" i="26"/>
  <c r="I46" i="26"/>
  <c r="I47" i="26"/>
  <c r="I49" i="26"/>
  <c r="I50" i="26"/>
  <c r="I52" i="26"/>
  <c r="I51" i="26"/>
  <c r="I56" i="26"/>
  <c r="I57" i="26"/>
  <c r="I48" i="26"/>
  <c r="P18" i="8"/>
  <c r="D12" i="21"/>
  <c r="E12" i="21"/>
  <c r="G9" i="21"/>
  <c r="E9" i="21"/>
  <c r="G5" i="21"/>
  <c r="G12" i="21"/>
  <c r="E5" i="21"/>
  <c r="M37" i="8"/>
  <c r="E42" i="8"/>
  <c r="E37" i="26"/>
  <c r="E51" i="26" s="1"/>
  <c r="F33" i="26"/>
  <c r="F27" i="26"/>
  <c r="D9" i="21"/>
  <c r="E10" i="20"/>
  <c r="E11" i="20" s="1"/>
  <c r="F30" i="26"/>
  <c r="D4" i="21"/>
  <c r="D6" i="21"/>
  <c r="E4" i="21"/>
  <c r="E6" i="21"/>
  <c r="M11" i="8"/>
  <c r="K10" i="20"/>
  <c r="K11" i="20" s="1"/>
  <c r="G6" i="21"/>
  <c r="G4" i="21"/>
  <c r="J37" i="8"/>
  <c r="D5" i="21"/>
  <c r="H55" i="26"/>
  <c r="H42" i="26"/>
  <c r="H53" i="26"/>
  <c r="H51" i="26"/>
  <c r="H49" i="26"/>
  <c r="H48" i="26"/>
  <c r="H47" i="26"/>
  <c r="H50" i="26"/>
  <c r="H46" i="26"/>
  <c r="H57" i="26"/>
  <c r="H56" i="26"/>
  <c r="H54" i="26"/>
  <c r="H45" i="26"/>
  <c r="H52" i="26"/>
  <c r="H58" i="26"/>
  <c r="H22" i="8"/>
  <c r="H22" i="26" s="1"/>
  <c r="I11" i="8"/>
  <c r="V11" i="8"/>
  <c r="L11" i="8"/>
  <c r="J11" i="8"/>
  <c r="J6" i="20"/>
  <c r="J7" i="20" s="1"/>
  <c r="H8" i="26"/>
  <c r="E57" i="8"/>
  <c r="E49" i="8"/>
  <c r="E52" i="8"/>
  <c r="E47" i="8"/>
  <c r="E53" i="8"/>
  <c r="E48" i="8"/>
  <c r="E55" i="8"/>
  <c r="E58" i="8"/>
  <c r="E50" i="8"/>
  <c r="E45" i="8"/>
  <c r="E56" i="8"/>
  <c r="E51" i="8"/>
  <c r="E46" i="8"/>
  <c r="E54" i="8"/>
  <c r="D54" i="8"/>
  <c r="D45" i="8"/>
  <c r="D57" i="8"/>
  <c r="D49" i="8"/>
  <c r="D58" i="8"/>
  <c r="D50" i="8"/>
  <c r="D52" i="8"/>
  <c r="D47" i="8"/>
  <c r="D53" i="8"/>
  <c r="D55" i="8"/>
  <c r="D56" i="8"/>
  <c r="D51" i="8"/>
  <c r="D46" i="8"/>
  <c r="D48" i="8"/>
  <c r="G16" i="20"/>
  <c r="H12" i="8"/>
  <c r="I22" i="26" l="1"/>
  <c r="H23" i="26"/>
  <c r="H12" i="26"/>
  <c r="I11" i="26"/>
  <c r="E3" i="21"/>
  <c r="J42" i="26"/>
  <c r="J55" i="26"/>
  <c r="J50" i="26"/>
  <c r="J54" i="26"/>
  <c r="J58" i="26"/>
  <c r="J52" i="26"/>
  <c r="J53" i="26"/>
  <c r="J46" i="26"/>
  <c r="J47" i="26"/>
  <c r="J49" i="26"/>
  <c r="J51" i="26"/>
  <c r="J57" i="26"/>
  <c r="J56" i="26"/>
  <c r="J48" i="26"/>
  <c r="J45" i="26"/>
  <c r="F11" i="20"/>
  <c r="H11" i="20"/>
  <c r="P17" i="8"/>
  <c r="H23" i="8"/>
  <c r="G20" i="20"/>
  <c r="G21" i="20" s="1"/>
  <c r="M18" i="8"/>
  <c r="E45" i="26"/>
  <c r="G3" i="21"/>
  <c r="P19" i="8"/>
  <c r="E48" i="26"/>
  <c r="E16" i="20"/>
  <c r="G30" i="26"/>
  <c r="G33" i="26"/>
  <c r="E20" i="20"/>
  <c r="E21" i="20" s="1"/>
  <c r="M17" i="8"/>
  <c r="M22" i="8"/>
  <c r="K20" i="20"/>
  <c r="K21" i="20" s="1"/>
  <c r="E53" i="26"/>
  <c r="E52" i="26"/>
  <c r="E50" i="26"/>
  <c r="E46" i="26"/>
  <c r="E54" i="26"/>
  <c r="E57" i="26"/>
  <c r="E49" i="26"/>
  <c r="E47" i="26"/>
  <c r="E56" i="26"/>
  <c r="E55" i="26"/>
  <c r="F37" i="26"/>
  <c r="F51" i="26" s="1"/>
  <c r="E58" i="26"/>
  <c r="E42" i="26"/>
  <c r="G27" i="26"/>
  <c r="D3" i="21"/>
  <c r="D3" i="18"/>
  <c r="D5" i="18"/>
  <c r="AF3" i="27"/>
  <c r="D16" i="20"/>
  <c r="L17" i="8"/>
  <c r="V17" i="8"/>
  <c r="D20" i="20"/>
  <c r="L22" i="8"/>
  <c r="V22" i="8"/>
  <c r="J22" i="8"/>
  <c r="I22" i="8"/>
  <c r="CD36" i="10"/>
  <c r="I17" i="8"/>
  <c r="J17" i="8"/>
  <c r="CC36" i="10"/>
  <c r="J11" i="26" l="1"/>
  <c r="I12" i="26"/>
  <c r="J22" i="26"/>
  <c r="J23" i="26" s="1"/>
  <c r="I23" i="26"/>
  <c r="D19" i="18"/>
  <c r="AG3" i="27"/>
  <c r="AG36" i="27" s="1"/>
  <c r="AF36" i="27"/>
  <c r="K17" i="20"/>
  <c r="K16" i="20"/>
  <c r="J5" i="18"/>
  <c r="J3" i="18"/>
  <c r="M19" i="8"/>
  <c r="F47" i="26"/>
  <c r="F58" i="26"/>
  <c r="F49" i="26"/>
  <c r="F55" i="26"/>
  <c r="F42" i="26"/>
  <c r="F53" i="26"/>
  <c r="F57" i="26"/>
  <c r="F56" i="26"/>
  <c r="F46" i="26"/>
  <c r="F54" i="26"/>
  <c r="F52" i="26"/>
  <c r="F50" i="26"/>
  <c r="G37" i="26"/>
  <c r="F48" i="26"/>
  <c r="F45" i="26"/>
  <c r="J20" i="20"/>
  <c r="J21" i="20" s="1"/>
  <c r="J12" i="26" l="1"/>
  <c r="J10" i="20"/>
  <c r="J11" i="20" s="1"/>
  <c r="L11" i="20" s="1"/>
  <c r="J16" i="20"/>
  <c r="J19" i="18"/>
  <c r="J6" i="18"/>
  <c r="K18" i="20"/>
  <c r="K19" i="20" s="1"/>
  <c r="J4" i="18"/>
  <c r="G50" i="26"/>
  <c r="G54" i="26"/>
  <c r="G56" i="26"/>
  <c r="G52" i="26"/>
  <c r="G42" i="26"/>
  <c r="G53" i="26"/>
  <c r="G49" i="26"/>
  <c r="G57" i="26"/>
  <c r="G47" i="26"/>
  <c r="G55" i="26"/>
  <c r="G58" i="26"/>
  <c r="G46" i="26"/>
  <c r="G48" i="26"/>
  <c r="G51" i="26"/>
  <c r="G45" i="26"/>
  <c r="J20" i="18" l="1"/>
  <c r="E44" i="7"/>
  <c r="F40" i="7" l="1"/>
  <c r="F29" i="7" l="1"/>
  <c r="F6" i="22"/>
  <c r="A6" i="22" s="1"/>
  <c r="L6" i="22" l="1"/>
  <c r="M6" i="22"/>
  <c r="H6" i="22"/>
  <c r="J6" i="22"/>
  <c r="I6" i="22"/>
  <c r="K6" i="22"/>
  <c r="A5" i="22"/>
  <c r="M5" i="22" s="1"/>
  <c r="A12" i="22"/>
  <c r="A14" i="22"/>
  <c r="A4" i="22"/>
  <c r="A15" i="22"/>
  <c r="A7" i="22"/>
  <c r="A16" i="22"/>
  <c r="A8" i="22"/>
  <c r="A18" i="22"/>
  <c r="A9" i="22"/>
  <c r="A19" i="22"/>
  <c r="A11" i="22"/>
  <c r="A20" i="22"/>
  <c r="A10" i="22"/>
  <c r="F15" i="7"/>
  <c r="F21" i="7"/>
  <c r="F14" i="7"/>
  <c r="F13" i="7"/>
  <c r="F16" i="7"/>
  <c r="F4" i="7"/>
  <c r="F28" i="7"/>
  <c r="L11" i="22" l="1"/>
  <c r="M11" i="22"/>
  <c r="L9" i="22"/>
  <c r="M9" i="22"/>
  <c r="L8" i="22"/>
  <c r="M8" i="22"/>
  <c r="L18" i="22"/>
  <c r="M18" i="22"/>
  <c r="L10" i="22"/>
  <c r="M10" i="22"/>
  <c r="L7" i="22"/>
  <c r="M7" i="22"/>
  <c r="L15" i="22"/>
  <c r="M15" i="22"/>
  <c r="L20" i="22"/>
  <c r="M20" i="22"/>
  <c r="L4" i="22"/>
  <c r="M4" i="22"/>
  <c r="L19" i="22"/>
  <c r="M19" i="22"/>
  <c r="L14" i="22"/>
  <c r="M14" i="22"/>
  <c r="H5" i="22"/>
  <c r="L5" i="22"/>
  <c r="K5" i="22"/>
  <c r="J5" i="22"/>
  <c r="I5" i="22"/>
  <c r="H4" i="22"/>
  <c r="J4" i="22"/>
  <c r="H18" i="22"/>
  <c r="J18" i="22"/>
  <c r="H11" i="22"/>
  <c r="J11" i="22"/>
  <c r="H9" i="22"/>
  <c r="J9" i="22"/>
  <c r="H19" i="22"/>
  <c r="J19" i="22"/>
  <c r="H8" i="22"/>
  <c r="J8" i="22"/>
  <c r="H14" i="22"/>
  <c r="J14" i="22"/>
  <c r="H10" i="22"/>
  <c r="J10" i="22"/>
  <c r="H7" i="22"/>
  <c r="J7" i="22"/>
  <c r="H20" i="22"/>
  <c r="J20" i="22"/>
  <c r="H15" i="22"/>
  <c r="J15" i="22"/>
  <c r="K9" i="22"/>
  <c r="I9" i="22"/>
  <c r="K10" i="22"/>
  <c r="I10" i="22"/>
  <c r="I7" i="22"/>
  <c r="K7" i="22"/>
  <c r="K11" i="22"/>
  <c r="I11" i="22"/>
  <c r="I19" i="22"/>
  <c r="K19" i="22"/>
  <c r="F18" i="7"/>
  <c r="F9" i="7"/>
  <c r="F5" i="7"/>
  <c r="L16" i="22" l="1"/>
  <c r="L21" i="22" s="1"/>
  <c r="L12" i="22"/>
  <c r="R3" i="22"/>
  <c r="M16" i="22"/>
  <c r="M21" i="22" s="1"/>
  <c r="M12" i="22"/>
  <c r="S3" i="22"/>
  <c r="P3" i="22"/>
  <c r="R4" i="22"/>
  <c r="H16" i="22"/>
  <c r="H21" i="22" s="1"/>
  <c r="H12" i="22"/>
  <c r="J16" i="22"/>
  <c r="J12" i="22"/>
  <c r="F7" i="7"/>
  <c r="S4" i="22" l="1"/>
  <c r="J21" i="22"/>
  <c r="P4" i="22"/>
  <c r="F11" i="7"/>
  <c r="F17" i="7" l="1"/>
  <c r="F19" i="7" l="1"/>
  <c r="D14" i="18" l="1"/>
  <c r="D8" i="18"/>
  <c r="D16" i="18"/>
  <c r="D12" i="18"/>
  <c r="D6" i="18"/>
  <c r="D10" i="18"/>
  <c r="CC61" i="4" l="1"/>
  <c r="CG61" i="4" s="1"/>
  <c r="CD61" i="4" l="1"/>
  <c r="CE61" i="4"/>
  <c r="CD7" i="10"/>
  <c r="CC7" i="10"/>
  <c r="CD6" i="10"/>
  <c r="CC6" i="10"/>
  <c r="CD5" i="10"/>
  <c r="CC5" i="10"/>
  <c r="CD4" i="10"/>
  <c r="CC4" i="10"/>
  <c r="CC71" i="4"/>
  <c r="CG71" i="4" s="1"/>
  <c r="CC68" i="4"/>
  <c r="CG68" i="4" s="1"/>
  <c r="CC64" i="4"/>
  <c r="CG64" i="4" s="1"/>
  <c r="CC55" i="4"/>
  <c r="CG55" i="4" s="1"/>
  <c r="CC44" i="4"/>
  <c r="CC14" i="4"/>
  <c r="CC4" i="4"/>
  <c r="K18" i="22" l="1"/>
  <c r="CE55" i="4"/>
  <c r="CD55" i="4"/>
  <c r="CD64" i="4"/>
  <c r="CE64" i="4"/>
  <c r="CD71" i="4"/>
  <c r="CE71" i="4"/>
  <c r="CE44" i="4"/>
  <c r="CD44" i="4"/>
  <c r="CE4" i="4"/>
  <c r="CD4" i="4"/>
  <c r="CE37" i="4"/>
  <c r="CD37" i="4"/>
  <c r="CD14" i="4"/>
  <c r="CE14" i="4"/>
  <c r="CE68" i="4"/>
  <c r="CD68" i="4"/>
  <c r="CG37" i="4"/>
  <c r="CG4" i="4"/>
  <c r="CG44" i="4"/>
  <c r="CG14" i="4"/>
  <c r="K15" i="22"/>
  <c r="K14" i="22"/>
  <c r="K8" i="22"/>
  <c r="K4" i="22"/>
  <c r="CC43" i="4"/>
  <c r="CC77" i="4"/>
  <c r="CC69" i="4"/>
  <c r="CC62" i="4"/>
  <c r="CC25" i="4"/>
  <c r="CC3" i="4"/>
  <c r="Q3" i="22" l="1"/>
  <c r="CD43" i="4"/>
  <c r="CE43" i="4"/>
  <c r="CE3" i="4"/>
  <c r="CD3" i="4"/>
  <c r="CD25" i="4"/>
  <c r="CE25" i="4"/>
  <c r="CG25" i="4"/>
  <c r="CG3" i="4"/>
  <c r="CG43" i="4"/>
  <c r="K16" i="22"/>
  <c r="K20" i="22"/>
  <c r="K12" i="22"/>
  <c r="CC51" i="4"/>
  <c r="Q4" i="22" l="1"/>
  <c r="CE51" i="4"/>
  <c r="CD51" i="4"/>
  <c r="K21" i="22"/>
  <c r="CG51" i="4"/>
  <c r="CC52" i="4"/>
  <c r="F38" i="7"/>
  <c r="F27" i="7"/>
  <c r="P64" i="11" l="1"/>
  <c r="P61" i="11"/>
  <c r="P55" i="11"/>
  <c r="Q44" i="11"/>
  <c r="Q37" i="11"/>
  <c r="Q26" i="11"/>
  <c r="Q14" i="11"/>
  <c r="Q4" i="11"/>
  <c r="Q55" i="11" l="1"/>
  <c r="S55" i="11"/>
  <c r="Q64" i="11"/>
  <c r="S64" i="11"/>
  <c r="S61" i="11"/>
  <c r="Q61" i="11"/>
  <c r="S44" i="11"/>
  <c r="I18" i="22"/>
  <c r="S14" i="11"/>
  <c r="I8" i="22"/>
  <c r="S26" i="11"/>
  <c r="I14" i="22"/>
  <c r="P69" i="11"/>
  <c r="S37" i="11"/>
  <c r="I15" i="22"/>
  <c r="S4" i="11"/>
  <c r="I4" i="22"/>
  <c r="Q25" i="11"/>
  <c r="Q43" i="11"/>
  <c r="P62" i="11"/>
  <c r="Q3" i="11"/>
  <c r="S25" i="11" l="1"/>
  <c r="S3" i="11"/>
  <c r="S43" i="11"/>
  <c r="I20" i="22"/>
  <c r="Q51" i="11"/>
  <c r="S51" i="11" l="1"/>
  <c r="I12" i="22"/>
  <c r="I16" i="22"/>
  <c r="I21" i="22" s="1"/>
  <c r="H15" i="20" l="1"/>
  <c r="H14" i="20"/>
  <c r="H13" i="20"/>
  <c r="D5" i="20" l="1"/>
  <c r="F13" i="20"/>
  <c r="F15" i="20"/>
  <c r="F14" i="20"/>
  <c r="F16" i="20"/>
  <c r="D21" i="20"/>
  <c r="H3" i="20"/>
  <c r="H4" i="20"/>
  <c r="D7" i="20"/>
  <c r="D9" i="20"/>
  <c r="F3" i="20"/>
  <c r="F9" i="20" l="1"/>
  <c r="F5" i="20"/>
  <c r="H13" i="18"/>
  <c r="F13" i="18"/>
  <c r="H5" i="18"/>
  <c r="F7" i="18"/>
  <c r="H7" i="18"/>
  <c r="H15" i="18"/>
  <c r="F15" i="18"/>
  <c r="H17" i="18"/>
  <c r="F17" i="18"/>
  <c r="F9" i="18"/>
  <c r="H9" i="18"/>
  <c r="H11" i="18"/>
  <c r="F11" i="18"/>
  <c r="F4" i="20"/>
  <c r="H5" i="20"/>
  <c r="H9" i="20"/>
  <c r="H8" i="20"/>
  <c r="F8" i="20"/>
  <c r="L4" i="21" l="1"/>
  <c r="L15" i="21"/>
  <c r="L3" i="21"/>
  <c r="G1" i="21"/>
  <c r="D1" i="21"/>
  <c r="E1" i="21"/>
  <c r="H3" i="21"/>
  <c r="F3" i="21"/>
  <c r="F15" i="21"/>
  <c r="H15" i="21"/>
  <c r="H5" i="21"/>
  <c r="F5" i="21"/>
  <c r="F4" i="21"/>
  <c r="H4" i="21"/>
  <c r="F9" i="21"/>
  <c r="H9" i="21"/>
  <c r="F12" i="21"/>
  <c r="H12" i="21"/>
  <c r="H13" i="21"/>
  <c r="F13" i="21"/>
  <c r="F14" i="21"/>
  <c r="H14" i="21"/>
  <c r="H10" i="21"/>
  <c r="F10" i="21"/>
  <c r="H7" i="21"/>
  <c r="F7" i="21"/>
  <c r="F6" i="21"/>
  <c r="H6" i="21"/>
  <c r="F8" i="21"/>
  <c r="H8" i="21"/>
  <c r="H11" i="21"/>
  <c r="F11" i="21"/>
  <c r="H7" i="20" l="1"/>
  <c r="L5" i="21" l="1"/>
  <c r="H6" i="20"/>
  <c r="F21" i="20" l="1"/>
  <c r="F20" i="20"/>
  <c r="L13" i="20"/>
  <c r="L14" i="20"/>
  <c r="L15" i="20"/>
  <c r="H20" i="20"/>
  <c r="H21" i="20"/>
  <c r="F6" i="20"/>
  <c r="F7" i="20"/>
  <c r="H10" i="20"/>
  <c r="F10" i="20"/>
  <c r="L16" i="20"/>
  <c r="H16" i="20"/>
  <c r="F22" i="7" l="1"/>
  <c r="L9" i="18"/>
  <c r="L7" i="21"/>
  <c r="L17" i="18"/>
  <c r="L15" i="18"/>
  <c r="L7" i="18"/>
  <c r="L11" i="18"/>
  <c r="L13" i="18"/>
  <c r="L12" i="21"/>
  <c r="L6" i="20"/>
  <c r="L6" i="21"/>
  <c r="L9" i="21"/>
  <c r="L11" i="21"/>
  <c r="L14" i="21"/>
  <c r="L10" i="21"/>
  <c r="L13" i="21"/>
  <c r="L8" i="21"/>
  <c r="L3" i="20"/>
  <c r="L4" i="20"/>
  <c r="L8" i="20"/>
  <c r="L10" i="20"/>
  <c r="L21" i="20" l="1"/>
  <c r="L20" i="20"/>
  <c r="L7" i="20"/>
  <c r="L5" i="20"/>
  <c r="L9" i="20"/>
  <c r="R14" i="5"/>
  <c r="R34" i="5"/>
  <c r="R16" i="5" l="1"/>
  <c r="R23" i="5"/>
  <c r="R5" i="5"/>
  <c r="R17" i="5"/>
  <c r="R4" i="5"/>
  <c r="R29" i="5"/>
  <c r="R19" i="5"/>
  <c r="R25" i="5"/>
  <c r="R31" i="5"/>
  <c r="R18" i="5"/>
  <c r="R8" i="5"/>
  <c r="R26" i="5"/>
  <c r="R7" i="5"/>
  <c r="R24" i="5"/>
  <c r="R10" i="5"/>
  <c r="R20" i="5"/>
  <c r="R27" i="5"/>
  <c r="R9" i="5"/>
  <c r="R12" i="5"/>
  <c r="R21" i="5"/>
  <c r="R28" i="5"/>
  <c r="R32" i="5"/>
  <c r="R3" i="5"/>
  <c r="R15" i="5"/>
  <c r="R22" i="5"/>
  <c r="R6" i="5"/>
  <c r="R13" i="5"/>
  <c r="F5" i="18" l="1"/>
  <c r="L3" i="18" l="1"/>
  <c r="L5" i="18"/>
  <c r="L19" i="18" l="1"/>
  <c r="E39" i="7" l="1"/>
  <c r="F36" i="7"/>
  <c r="F39" i="7" l="1"/>
  <c r="E37" i="7"/>
  <c r="E57" i="7" l="1"/>
  <c r="E42" i="7"/>
  <c r="E48" i="7"/>
  <c r="E55" i="7"/>
  <c r="E47" i="7"/>
  <c r="E54" i="7"/>
  <c r="E46" i="7"/>
  <c r="E53" i="7"/>
  <c r="E52" i="7"/>
  <c r="E50" i="7"/>
  <c r="E49" i="7"/>
  <c r="E45" i="7"/>
  <c r="E56" i="7"/>
  <c r="E51" i="7"/>
  <c r="F37" i="7"/>
  <c r="H19" i="18"/>
  <c r="F19" i="18"/>
  <c r="H3" i="18"/>
  <c r="D20" i="18"/>
  <c r="D4" i="18" l="1"/>
  <c r="F3" i="18"/>
  <c r="E17" i="20"/>
  <c r="E18" i="20"/>
  <c r="E19" i="20" s="1"/>
  <c r="D17" i="20"/>
  <c r="D18" i="20"/>
  <c r="J19" i="8"/>
  <c r="H20" i="8"/>
  <c r="L19" i="8"/>
  <c r="V19" i="8"/>
  <c r="H18" i="8"/>
  <c r="I19" i="8"/>
  <c r="I18" i="8" l="1"/>
  <c r="H18" i="26"/>
  <c r="I18" i="26" s="1"/>
  <c r="J18" i="26" s="1"/>
  <c r="L18" i="8"/>
  <c r="V18" i="8"/>
  <c r="J18" i="8"/>
  <c r="G17" i="20"/>
  <c r="H17" i="20" s="1"/>
  <c r="F18" i="20"/>
  <c r="F17" i="20"/>
  <c r="D19" i="20"/>
  <c r="H19" i="20" s="1"/>
  <c r="H18" i="20"/>
  <c r="J17" i="20" l="1"/>
  <c r="L17" i="20" s="1"/>
  <c r="J18" i="20"/>
  <c r="L18" i="20" s="1"/>
  <c r="F19" i="20"/>
  <c r="J19" i="20" l="1"/>
  <c r="L19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tc={9785C506-FF35-471A-8860-1BC165091480}</author>
    <author>tc={B405E5B7-B2FB-4891-A45E-1203048076CE}</author>
    <author>tc={DBC6651E-9103-4DBA-B3F4-83765BD5B851}</author>
    <author>tc={66249436-EFA7-47C7-AA9F-616594C29403}</author>
    <author>tc={E9535F5E-E242-4B01-9B20-6EBFD74487BD}</author>
    <author>tc={7867A22F-7FB6-4840-8468-51864A21898C}</author>
    <author>tc={F0A016D4-7766-45A9-8286-17D65AAD55FE}</author>
    <author>tc={7BD38D1E-42D3-415D-9C83-5015887E1C61}</author>
    <author>tc={6108F04A-54AA-491C-B813-ED1075260CA9}</author>
    <author>tc={97EBB69F-0417-47A1-9C9B-2A5181EC23E5}</author>
    <author>tc={8110D24A-E566-4B96-AC84-E2143C9ED3E8}</author>
    <author>tc={7078CB20-2AAF-4561-8CF3-72BEF9B03D07}</author>
    <author>tc={2B6B770B-7276-4A36-8A7D-8695C402EC11}</author>
    <author>tc={C48F8158-7E36-4778-B251-0A1ECEF3A752}</author>
    <author>tc={CA2A8730-3E3B-459D-B13D-C522E732B782}</author>
    <author>tc={6EC75C76-E6EF-4DC7-BF42-BD8598BB3D8E}</author>
    <author>tc={2476AB0D-2ED6-4E45-8DCE-A43B5A4B1392}</author>
    <author>tc={10940C18-F07F-4696-97AD-72537C3CC04A}</author>
  </authors>
  <commentList>
    <comment ref="C9" authorId="0" shapeId="0" xr:uid="{9785C506-FF35-471A-8860-1BC165091480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1Q25부터 기존 '기타금융자산' 항목이 현재 '기타채권'로 합산되었습니다.
The previous "Other Financial Assets" category has since 1Q25 been consolidated into "Other Receivables."
</t>
      </text>
    </comment>
    <comment ref="BB9" authorId="1" shapeId="0" xr:uid="{B405E5B7-B2FB-4891-A45E-1203048076CE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받을어음 39백만원 포함</t>
      </text>
    </comment>
    <comment ref="CC9" authorId="2" shapeId="0" xr:uid="{DBC6651E-9103-4DBA-B3F4-83765BD5B851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1Q25부터 기존 '기타금융자산' 항목이 현재 '기타채권'로 합산되었습니다.
The previous "Other Financial Assets" category has since 1Q25 been consolidated into "Other Receivables."
</t>
      </text>
    </comment>
    <comment ref="CF9" authorId="3" shapeId="0" xr:uid="{66249436-EFA7-47C7-AA9F-616594C29403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1Q25부터 기존 '기타금융자산' 항목이 현재 '기타채권'로 합산되었습니다.
The previous "Other Financial Assets" category has since 1Q25 been consolidated into "Other Receivables."</t>
      </text>
    </comment>
    <comment ref="CI9" authorId="4" shapeId="0" xr:uid="{E9535F5E-E242-4B01-9B20-6EBFD74487BD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1Q25부터 기존 '기타금융자산' 항목이 현재 '기타채권'로 합산되었습니다.
The previous "Other Financial Assets" category has since 1Q25 been consolidated into "Other Receivables."</t>
      </text>
    </comment>
    <comment ref="C11" authorId="5" shapeId="0" xr:uid="{7867A22F-7FB6-4840-8468-51864A21898C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1Q25부터 기존 '기타금융자산' 항목이 현재 '기타채권'로 합산되었습니다.
The previous "Other Financial Assets" category has since 1Q25 been consolidated into "Other Receivables."
</t>
      </text>
    </comment>
    <comment ref="CC11" authorId="6" shapeId="0" xr:uid="{F0A016D4-7766-45A9-8286-17D65AAD55FE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1Q25부터 기존 '기타금융자산' 항목이 현재 '기타채권'로 합산되었습니다.
The previous "Other Financial Assets" category has since 1Q25 been consolidated into "Other Receivables."
</t>
      </text>
    </comment>
    <comment ref="CF11" authorId="7" shapeId="0" xr:uid="{7BD38D1E-42D3-415D-9C83-5015887E1C61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1Q25부터 기존 '기타금융자산' 항목이 현재 '기타채권'로 합산되었습니다.
The previous "Other Financial Assets" category has since 1Q25 been consolidated into "Other Receivables."
</t>
      </text>
    </comment>
    <comment ref="CI11" authorId="8" shapeId="0" xr:uid="{6108F04A-54AA-491C-B813-ED1075260CA9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1Q25부터 기존 '기타금융자산' 항목이 현재 '기타채권'로 합산되었습니다.
The previous "Other Financial Assets" category has since 1Q25 been consolidated into "Other Receivables."
</t>
      </text>
    </comment>
    <comment ref="C28" authorId="9" shapeId="0" xr:uid="{97EBB69F-0417-47A1-9C9B-2A5181EC23E5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 부터 기존 '기타금융부채' 항목이 현재 '기타채무'로 합산되었습니다.
The previous "Other Financial Liabilities" category has since 1Q25 been consolidated into "Other Liabilities."
</t>
      </text>
    </comment>
    <comment ref="CC28" authorId="10" shapeId="0" xr:uid="{8110D24A-E566-4B96-AC84-E2143C9ED3E8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 부터 기존 '기타금융부채' 항목이 현재 '기타채무'로 합산되었습니다.
The previous "Other Financial Liabilities" category has since 1Q25 been consolidated into "Other Liabilities."
</t>
      </text>
    </comment>
    <comment ref="CF28" authorId="11" shapeId="0" xr:uid="{7078CB20-2AAF-4561-8CF3-72BEF9B03D07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 부터 기존 '기타금융부채' 항목이 현재 '기타채무'로 합산되었습니다.
The previous "Other Financial Liabilities" category has since 1Q25 been consolidated into "Other Liabilities."
</t>
      </text>
    </comment>
    <comment ref="CI28" authorId="12" shapeId="0" xr:uid="{2B6B770B-7276-4A36-8A7D-8695C402EC11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 부터 기존 '기타금융부채' 항목이 현재 '기타채무'로 합산되었습니다.
The previous "Other Financial Liabilities" category has since 1Q25 been consolidated into "Other Liabilities."
</t>
      </text>
    </comment>
    <comment ref="C31" authorId="13" shapeId="0" xr:uid="{C48F8158-7E36-4778-B251-0A1ECEF3A752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 부터 기존 '기타금융부채' 항목이 현재 '기타채무'로 합산되었습니다.
The previous "Other Financial Liabilities" category has since 1Q25 been consolidated into "Other Liabilities."
</t>
      </text>
    </comment>
    <comment ref="CC31" authorId="14" shapeId="0" xr:uid="{CA2A8730-3E3B-459D-B13D-C522E732B782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 부터 기존 '기타금융부채' 항목이 현재 '기타채무'로 합산되었습니다.
The previous "Other Financial Liabilities" category has since 1Q25 been consolidated into "Other Liabilities."
</t>
      </text>
    </comment>
    <comment ref="CF31" authorId="15" shapeId="0" xr:uid="{6EC75C76-E6EF-4DC7-BF42-BD8598BB3D8E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 부터 기존 '기타금융부채' 항목이 현재 '기타채무'로 합산되었습니다.
The previous "Other Financial Liabilities" category has since 1Q25 been consolidated into "Other Liabilities."
</t>
      </text>
    </comment>
    <comment ref="CI31" authorId="16" shapeId="0" xr:uid="{2476AB0D-2ED6-4E45-8DCE-A43B5A4B1392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 부터 기존 '기타금융부채' 항목이 현재 '기타채무'로 합산되었습니다.
The previous "Other Financial Liabilities" category has since 1Q25 been consolidated into "Other Liabilities."
</t>
      </text>
    </comment>
    <comment ref="C79" authorId="17" shapeId="0" xr:uid="{10940C18-F07F-4696-97AD-72537C3CC04A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 부터 기존 '기타금융부채' 항목이 현재 '기타채무'로 합산되었습니다.
The previous "Other Financial Liabilities" category has since 1Q25 been consolidated into "Other Liabilities."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tc={D2DDA040-457E-460D-971F-9E1F4925B773}</author>
  </authors>
  <commentList>
    <comment ref="C79" authorId="0" shapeId="0" xr:uid="{D2DDA040-457E-460D-971F-9E1F4925B773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 부터 기존 '기타금융부채' 항목이 현재 '기타채무'로 합산되었습니다.
The previous "Other Financial Liabilities" category has since 1Q25 been consolidated into "Other Liabilities."
</t>
      </text>
    </comment>
  </commentList>
</comments>
</file>

<file path=xl/sharedStrings.xml><?xml version="1.0" encoding="utf-8"?>
<sst xmlns="http://schemas.openxmlformats.org/spreadsheetml/2006/main" count="1957" uniqueCount="505">
  <si>
    <t>YoY</t>
    <phoneticPr fontId="3" type="noConversion"/>
  </si>
  <si>
    <t>QoQ</t>
    <phoneticPr fontId="3" type="noConversion"/>
  </si>
  <si>
    <t>yoy</t>
    <phoneticPr fontId="3" type="noConversion"/>
  </si>
  <si>
    <t>-</t>
    <phoneticPr fontId="3" type="noConversion"/>
  </si>
  <si>
    <t>SG&amp;A</t>
    <phoneticPr fontId="3" type="noConversion"/>
  </si>
  <si>
    <t>DA</t>
    <phoneticPr fontId="3" type="noConversion"/>
  </si>
  <si>
    <t>EBITDA</t>
    <phoneticPr fontId="3" type="noConversion"/>
  </si>
  <si>
    <t>Total</t>
    <phoneticPr fontId="3" type="noConversion"/>
  </si>
  <si>
    <t>Brazil</t>
    <phoneticPr fontId="3" type="noConversion"/>
  </si>
  <si>
    <t>QoQ</t>
  </si>
  <si>
    <t>자산</t>
    <phoneticPr fontId="3" type="noConversion"/>
  </si>
  <si>
    <t>Total assets</t>
    <phoneticPr fontId="3" type="noConversion"/>
  </si>
  <si>
    <t>　유동자산</t>
  </si>
  <si>
    <t>Current assets</t>
    <phoneticPr fontId="3" type="noConversion"/>
  </si>
  <si>
    <t>　　재고자산</t>
    <phoneticPr fontId="3" type="noConversion"/>
  </si>
  <si>
    <t>Inventories</t>
    <phoneticPr fontId="3" type="noConversion"/>
  </si>
  <si>
    <t>　　기타유동자산</t>
    <phoneticPr fontId="3" type="noConversion"/>
  </si>
  <si>
    <t>Other current assets</t>
    <phoneticPr fontId="3" type="noConversion"/>
  </si>
  <si>
    <t>　비유동자산</t>
    <phoneticPr fontId="3" type="noConversion"/>
  </si>
  <si>
    <t>Non-current assets</t>
    <phoneticPr fontId="3" type="noConversion"/>
  </si>
  <si>
    <t>당기손익-공정가치측정금융자산(비유동)</t>
    <phoneticPr fontId="3" type="noConversion"/>
  </si>
  <si>
    <t>부채</t>
    <phoneticPr fontId="3" type="noConversion"/>
  </si>
  <si>
    <t>　유동부채</t>
  </si>
  <si>
    <t>　　기타유동부채</t>
    <phoneticPr fontId="3" type="noConversion"/>
  </si>
  <si>
    <t>Other current liabilities</t>
    <phoneticPr fontId="3" type="noConversion"/>
  </si>
  <si>
    <t>　비유동부채</t>
    <phoneticPr fontId="3" type="noConversion"/>
  </si>
  <si>
    <t>자본</t>
    <phoneticPr fontId="3" type="noConversion"/>
  </si>
  <si>
    <t>　지배기업소유주지분</t>
    <phoneticPr fontId="3" type="noConversion"/>
  </si>
  <si>
    <t>　비지배지분</t>
  </si>
  <si>
    <t>제품(순액)</t>
    <phoneticPr fontId="3" type="noConversion"/>
  </si>
  <si>
    <t>재공품</t>
    <phoneticPr fontId="3" type="noConversion"/>
  </si>
  <si>
    <t>원재료(순액)</t>
    <phoneticPr fontId="3" type="noConversion"/>
  </si>
  <si>
    <t>Raw materials</t>
    <phoneticPr fontId="3" type="noConversion"/>
  </si>
  <si>
    <t>상품</t>
    <phoneticPr fontId="3" type="noConversion"/>
  </si>
  <si>
    <t>Merchandise</t>
    <phoneticPr fontId="3" type="noConversion"/>
  </si>
  <si>
    <t>선급금</t>
    <phoneticPr fontId="3" type="noConversion"/>
  </si>
  <si>
    <t>선급비용</t>
    <phoneticPr fontId="3" type="noConversion"/>
  </si>
  <si>
    <t>부가세대급금</t>
    <phoneticPr fontId="3" type="noConversion"/>
  </si>
  <si>
    <t>Prepaid value added tax</t>
    <phoneticPr fontId="3" type="noConversion"/>
  </si>
  <si>
    <t>예수금</t>
    <phoneticPr fontId="3" type="noConversion"/>
  </si>
  <si>
    <t>Withholdings</t>
    <phoneticPr fontId="3" type="noConversion"/>
  </si>
  <si>
    <t>부가세예수금</t>
    <phoneticPr fontId="3" type="noConversion"/>
  </si>
  <si>
    <t>Value added tax withheld</t>
    <phoneticPr fontId="3" type="noConversion"/>
  </si>
  <si>
    <t>선수금</t>
    <phoneticPr fontId="3" type="noConversion"/>
  </si>
  <si>
    <t>Advance received</t>
    <phoneticPr fontId="3" type="noConversion"/>
  </si>
  <si>
    <t>급여</t>
    <phoneticPr fontId="3" type="noConversion"/>
  </si>
  <si>
    <t>Salaries</t>
    <phoneticPr fontId="3" type="noConversion"/>
  </si>
  <si>
    <t>잡급</t>
  </si>
  <si>
    <t>퇴직급여</t>
    <phoneticPr fontId="3" type="noConversion"/>
  </si>
  <si>
    <t>복리후생비</t>
    <phoneticPr fontId="3" type="noConversion"/>
  </si>
  <si>
    <t>접대비</t>
    <phoneticPr fontId="3" type="noConversion"/>
  </si>
  <si>
    <t>감가상각비</t>
    <phoneticPr fontId="3" type="noConversion"/>
  </si>
  <si>
    <t>Depreciation</t>
    <phoneticPr fontId="3" type="noConversion"/>
  </si>
  <si>
    <t>경상연구개발비</t>
    <phoneticPr fontId="3" type="noConversion"/>
  </si>
  <si>
    <t>소모품비</t>
  </si>
  <si>
    <t>지급수수료</t>
  </si>
  <si>
    <t>광고선전비</t>
    <phoneticPr fontId="3" type="noConversion"/>
  </si>
  <si>
    <t>판매수수료</t>
  </si>
  <si>
    <t>회의비</t>
    <phoneticPr fontId="3" type="noConversion"/>
  </si>
  <si>
    <t>Financial  Income</t>
  </si>
  <si>
    <t>Financial Expenses</t>
  </si>
  <si>
    <t>Other Income</t>
  </si>
  <si>
    <t>Other Expenses</t>
  </si>
  <si>
    <t>COGS</t>
    <phoneticPr fontId="3" type="noConversion"/>
  </si>
  <si>
    <t>Employee Benefits</t>
    <phoneticPr fontId="3" type="noConversion"/>
  </si>
  <si>
    <t>Communication Expenses</t>
    <phoneticPr fontId="3" type="noConversion"/>
  </si>
  <si>
    <t>Repairs and Maintenance Expenses</t>
    <phoneticPr fontId="3" type="noConversion"/>
  </si>
  <si>
    <t>지급임차료</t>
    <phoneticPr fontId="3" type="noConversion"/>
  </si>
  <si>
    <t>Sample Expenses</t>
    <phoneticPr fontId="3" type="noConversion"/>
  </si>
  <si>
    <t>Others</t>
    <phoneticPr fontId="3" type="noConversion"/>
  </si>
  <si>
    <t>Commission</t>
    <phoneticPr fontId="3" type="noConversion"/>
  </si>
  <si>
    <t>Finished Goods</t>
    <phoneticPr fontId="3" type="noConversion"/>
  </si>
  <si>
    <t>Work in Process</t>
  </si>
  <si>
    <t>Short-Term Financial Instruments</t>
  </si>
  <si>
    <t>Other Current Assets</t>
  </si>
  <si>
    <t>Property, Plant and Equipment</t>
  </si>
  <si>
    <t>Advance Payments</t>
  </si>
  <si>
    <t>Prepaid Expenses</t>
  </si>
  <si>
    <t>YoY</t>
  </si>
  <si>
    <t>COGS</t>
  </si>
  <si>
    <t>(%)</t>
  </si>
  <si>
    <t>SG&amp;A</t>
  </si>
  <si>
    <t>EBITDA</t>
  </si>
  <si>
    <t>매출</t>
  </si>
  <si>
    <t>매출원가</t>
  </si>
  <si>
    <t>매출총이익</t>
  </si>
  <si>
    <t>판관비</t>
  </si>
  <si>
    <t>영업이익</t>
  </si>
  <si>
    <t>Others</t>
  </si>
  <si>
    <t>Total</t>
  </si>
  <si>
    <t>(% of sales)　</t>
  </si>
  <si>
    <t>(% of sales)</t>
  </si>
  <si>
    <t>Assets</t>
  </si>
  <si>
    <t>Inventories</t>
  </si>
  <si>
    <t>P.P.E.</t>
  </si>
  <si>
    <t>Total Assets</t>
  </si>
  <si>
    <t>Liabilities</t>
  </si>
  <si>
    <t>Current liabilities</t>
  </si>
  <si>
    <t>Non-current liabilities</t>
  </si>
  <si>
    <t>Total Liabilities</t>
  </si>
  <si>
    <t>Equity</t>
  </si>
  <si>
    <t>Retained earnings</t>
  </si>
  <si>
    <t>Total Equity</t>
  </si>
  <si>
    <t>Total Liabilities + Equity</t>
  </si>
  <si>
    <t>수출</t>
  </si>
  <si>
    <t>내수</t>
  </si>
  <si>
    <t>기타</t>
  </si>
  <si>
    <t>급여</t>
  </si>
  <si>
    <t>(매출 대비 %)　</t>
  </si>
  <si>
    <t>경상연구개발비</t>
  </si>
  <si>
    <t>광고선전비</t>
  </si>
  <si>
    <t>자산</t>
  </si>
  <si>
    <t>유동자산</t>
  </si>
  <si>
    <t>재고자산</t>
  </si>
  <si>
    <t>매출채권</t>
  </si>
  <si>
    <t>비유동자산</t>
  </si>
  <si>
    <t>자산총계</t>
  </si>
  <si>
    <t>부채</t>
  </si>
  <si>
    <t>유동부채</t>
  </si>
  <si>
    <t>비유동부채</t>
  </si>
  <si>
    <t>부채총계</t>
  </si>
  <si>
    <t>자본</t>
  </si>
  <si>
    <t>이익잉여금</t>
  </si>
  <si>
    <t>자본총계</t>
  </si>
  <si>
    <t>부채+자본</t>
  </si>
  <si>
    <t>(%)</t>
    <phoneticPr fontId="3" type="noConversion"/>
  </si>
  <si>
    <t>-</t>
  </si>
  <si>
    <t>1) Condensed I/S_Quarterly</t>
    <phoneticPr fontId="3" type="noConversion"/>
  </si>
  <si>
    <t>2) Sales by Brands_Quarterly</t>
    <phoneticPr fontId="3" type="noConversion"/>
  </si>
  <si>
    <t>자본과부채총계</t>
    <phoneticPr fontId="3" type="noConversion"/>
  </si>
  <si>
    <t>Non-Current Liabilities</t>
    <phoneticPr fontId="3" type="noConversion"/>
  </si>
  <si>
    <t>현금및현금성자산</t>
    <phoneticPr fontId="3" type="noConversion"/>
  </si>
  <si>
    <t>단기금융상품</t>
    <phoneticPr fontId="3" type="noConversion"/>
  </si>
  <si>
    <t>당기손익-공정가치측정금융자산(유동)</t>
    <phoneticPr fontId="3" type="noConversion"/>
  </si>
  <si>
    <t>재고자산</t>
    <phoneticPr fontId="3" type="noConversion"/>
  </si>
  <si>
    <t>기타금융자산</t>
    <phoneticPr fontId="3" type="noConversion"/>
  </si>
  <si>
    <t>기타유동자산</t>
    <phoneticPr fontId="3" type="noConversion"/>
  </si>
  <si>
    <t>당기법인세자산</t>
    <phoneticPr fontId="3" type="noConversion"/>
  </si>
  <si>
    <t>장기금융상품</t>
    <phoneticPr fontId="3" type="noConversion"/>
  </si>
  <si>
    <t>유형자산</t>
    <phoneticPr fontId="3" type="noConversion"/>
  </si>
  <si>
    <t>무형자산</t>
    <phoneticPr fontId="3" type="noConversion"/>
  </si>
  <si>
    <t>투자부동산</t>
    <phoneticPr fontId="3" type="noConversion"/>
  </si>
  <si>
    <t>사용권자산</t>
    <phoneticPr fontId="3" type="noConversion"/>
  </si>
  <si>
    <t>이연법인세자산</t>
    <phoneticPr fontId="3" type="noConversion"/>
  </si>
  <si>
    <t>단기차입금</t>
    <phoneticPr fontId="3" type="noConversion"/>
  </si>
  <si>
    <t>당기법인세부채</t>
    <phoneticPr fontId="3" type="noConversion"/>
  </si>
  <si>
    <t>기타금융부채</t>
    <phoneticPr fontId="3" type="noConversion"/>
  </si>
  <si>
    <t>기타유동부채</t>
    <phoneticPr fontId="3" type="noConversion"/>
  </si>
  <si>
    <t>리스부채</t>
    <phoneticPr fontId="3" type="noConversion"/>
  </si>
  <si>
    <t>장기차입금</t>
    <phoneticPr fontId="3" type="noConversion"/>
  </si>
  <si>
    <t>기타비유동금융부채</t>
    <phoneticPr fontId="3" type="noConversion"/>
  </si>
  <si>
    <t>비유동리스부채</t>
    <phoneticPr fontId="3" type="noConversion"/>
  </si>
  <si>
    <t>이연법인세부채</t>
    <phoneticPr fontId="3" type="noConversion"/>
  </si>
  <si>
    <t>자본금</t>
    <phoneticPr fontId="3" type="noConversion"/>
  </si>
  <si>
    <t>자본잉여금</t>
    <phoneticPr fontId="3" type="noConversion"/>
  </si>
  <si>
    <t>자본조정</t>
    <phoneticPr fontId="3" type="noConversion"/>
  </si>
  <si>
    <t>기타포괄손익누계액</t>
    <phoneticPr fontId="3" type="noConversion"/>
  </si>
  <si>
    <t>이익잉여금</t>
    <phoneticPr fontId="3" type="noConversion"/>
  </si>
  <si>
    <t>(단위: 백만원)</t>
    <phoneticPr fontId="3" type="noConversion"/>
  </si>
  <si>
    <t>Balance Sheet_Quarterly</t>
    <phoneticPr fontId="3" type="noConversion"/>
  </si>
  <si>
    <t>Retirement benefits</t>
    <phoneticPr fontId="3" type="noConversion"/>
  </si>
  <si>
    <t>주식보상비용</t>
    <phoneticPr fontId="3" type="noConversion"/>
  </si>
  <si>
    <t>여비교통비</t>
    <phoneticPr fontId="3" type="noConversion"/>
  </si>
  <si>
    <t>통신비</t>
    <phoneticPr fontId="3" type="noConversion"/>
  </si>
  <si>
    <t>수도광열비</t>
    <phoneticPr fontId="3" type="noConversion"/>
  </si>
  <si>
    <t>수선비</t>
    <phoneticPr fontId="3" type="noConversion"/>
  </si>
  <si>
    <t>보험료</t>
    <phoneticPr fontId="3" type="noConversion"/>
  </si>
  <si>
    <t>차량유지비</t>
    <phoneticPr fontId="3" type="noConversion"/>
  </si>
  <si>
    <t>운반비</t>
    <phoneticPr fontId="3" type="noConversion"/>
  </si>
  <si>
    <t>교육훈련비</t>
    <phoneticPr fontId="3" type="noConversion"/>
  </si>
  <si>
    <t>도서인쇄비</t>
    <phoneticPr fontId="3" type="noConversion"/>
  </si>
  <si>
    <t>Periodicals and Printing Expenses</t>
    <phoneticPr fontId="3" type="noConversion"/>
  </si>
  <si>
    <t>사무용품비</t>
    <phoneticPr fontId="3" type="noConversion"/>
  </si>
  <si>
    <t>판매촉진비</t>
    <phoneticPr fontId="3" type="noConversion"/>
  </si>
  <si>
    <t>대손상각비</t>
    <phoneticPr fontId="3" type="noConversion"/>
  </si>
  <si>
    <t>수출제비용</t>
    <phoneticPr fontId="3" type="noConversion"/>
  </si>
  <si>
    <t>Export Expenses</t>
    <phoneticPr fontId="3" type="noConversion"/>
  </si>
  <si>
    <t>판매수수료</t>
    <phoneticPr fontId="3" type="noConversion"/>
  </si>
  <si>
    <t>견본비</t>
    <phoneticPr fontId="3" type="noConversion"/>
  </si>
  <si>
    <t>합 계</t>
    <phoneticPr fontId="3" type="noConversion"/>
  </si>
  <si>
    <t>Taxes and Dues</t>
    <phoneticPr fontId="3" type="noConversion"/>
  </si>
  <si>
    <t>지급수수료</t>
    <phoneticPr fontId="3" type="noConversion"/>
  </si>
  <si>
    <t>Sales Promotion Expenses</t>
    <phoneticPr fontId="3" type="noConversion"/>
  </si>
  <si>
    <t>판매보증비</t>
    <phoneticPr fontId="3" type="noConversion"/>
  </si>
  <si>
    <t>Vehicle Maintenance Expenses</t>
    <phoneticPr fontId="3" type="noConversion"/>
  </si>
  <si>
    <t>매출</t>
    <phoneticPr fontId="3" type="noConversion"/>
  </si>
  <si>
    <t>기타</t>
    <phoneticPr fontId="3" type="noConversion"/>
  </si>
  <si>
    <t>Rentals</t>
    <phoneticPr fontId="3" type="noConversion"/>
  </si>
  <si>
    <t>r</t>
    <phoneticPr fontId="3" type="noConversion"/>
  </si>
  <si>
    <t>Unit: Billion KRW</t>
    <phoneticPr fontId="3" type="noConversion"/>
  </si>
  <si>
    <t>매출원가</t>
    <phoneticPr fontId="3" type="noConversion"/>
  </si>
  <si>
    <t>매출총이익</t>
    <phoneticPr fontId="3" type="noConversion"/>
  </si>
  <si>
    <t>판관비</t>
    <phoneticPr fontId="3" type="noConversion"/>
  </si>
  <si>
    <t>영업이익</t>
    <phoneticPr fontId="3" type="noConversion"/>
  </si>
  <si>
    <t>금융수익</t>
    <phoneticPr fontId="3" type="noConversion"/>
  </si>
  <si>
    <t>금융비용</t>
  </si>
  <si>
    <t>금융비용</t>
    <phoneticPr fontId="3" type="noConversion"/>
  </si>
  <si>
    <t>기타수익</t>
  </si>
  <si>
    <t>기타수익</t>
    <phoneticPr fontId="3" type="noConversion"/>
  </si>
  <si>
    <t>기타비용</t>
  </si>
  <si>
    <t>기타비용</t>
    <phoneticPr fontId="3" type="noConversion"/>
  </si>
  <si>
    <t>법인세차감전순이익</t>
  </si>
  <si>
    <t>법인세비용</t>
    <phoneticPr fontId="3" type="noConversion"/>
  </si>
  <si>
    <t>3) Sales by Brands %</t>
    <phoneticPr fontId="3" type="noConversion"/>
  </si>
  <si>
    <t>수출</t>
    <phoneticPr fontId="3" type="noConversion"/>
  </si>
  <si>
    <t>내수</t>
    <phoneticPr fontId="3" type="noConversion"/>
  </si>
  <si>
    <t>소모품</t>
    <phoneticPr fontId="3" type="noConversion"/>
  </si>
  <si>
    <t>총계</t>
    <phoneticPr fontId="3" type="noConversion"/>
  </si>
  <si>
    <t>브라질</t>
    <phoneticPr fontId="3" type="noConversion"/>
  </si>
  <si>
    <t>Unit: %</t>
    <phoneticPr fontId="3" type="noConversion"/>
  </si>
  <si>
    <t>Income Statement_Annually</t>
    <phoneticPr fontId="3" type="noConversion"/>
  </si>
  <si>
    <t>1) Condensed I/S_Annually</t>
    <phoneticPr fontId="3" type="noConversion"/>
  </si>
  <si>
    <t>(단위 : 십억원)</t>
    <phoneticPr fontId="3" type="noConversion"/>
  </si>
  <si>
    <t>Total Liabilities</t>
    <phoneticPr fontId="3" type="noConversion"/>
  </si>
  <si>
    <t>1Q24</t>
    <phoneticPr fontId="3" type="noConversion"/>
  </si>
  <si>
    <t>Revenue</t>
    <phoneticPr fontId="3" type="noConversion"/>
  </si>
  <si>
    <t>￦/$</t>
    <phoneticPr fontId="3" type="noConversion"/>
  </si>
  <si>
    <t>Cash &amp; Cash Equivalents</t>
    <phoneticPr fontId="3" type="noConversion"/>
  </si>
  <si>
    <t xml:space="preserve">Fair Value Through Profit or Loss </t>
    <phoneticPr fontId="3" type="noConversion"/>
  </si>
  <si>
    <t xml:space="preserve">Current Income Tax Assets </t>
    <phoneticPr fontId="3" type="noConversion"/>
  </si>
  <si>
    <t xml:space="preserve">Deferred Income Tax Assets </t>
    <phoneticPr fontId="3" type="noConversion"/>
  </si>
  <si>
    <t>Current Income Tax Liabilities</t>
    <phoneticPr fontId="3" type="noConversion"/>
  </si>
  <si>
    <t xml:space="preserve">Other Financial Liabilities </t>
    <phoneticPr fontId="3" type="noConversion"/>
  </si>
  <si>
    <t>Other Current Liabilities</t>
    <phoneticPr fontId="3" type="noConversion"/>
  </si>
  <si>
    <t>Other Non-Current Financial Liabilities</t>
    <phoneticPr fontId="3" type="noConversion"/>
  </si>
  <si>
    <t>Deferred Income Tax Liabilities</t>
    <phoneticPr fontId="3" type="noConversion"/>
  </si>
  <si>
    <t>Equity Attributable to Owners of the Parent Company</t>
    <phoneticPr fontId="3" type="noConversion"/>
  </si>
  <si>
    <t>Total Equity</t>
    <phoneticPr fontId="3" type="noConversion"/>
  </si>
  <si>
    <t>Capital Adjustments</t>
    <phoneticPr fontId="3" type="noConversion"/>
  </si>
  <si>
    <t>Total Liabilities and Equity</t>
    <phoneticPr fontId="3" type="noConversion"/>
  </si>
  <si>
    <t>Revenue</t>
  </si>
  <si>
    <t>유무형 감가상각비</t>
    <phoneticPr fontId="3" type="noConversion"/>
  </si>
  <si>
    <t>원/달러 환율*</t>
    <phoneticPr fontId="3" type="noConversion"/>
  </si>
  <si>
    <t>* 분기 평균</t>
    <phoneticPr fontId="3" type="noConversion"/>
  </si>
  <si>
    <t>Intangible Assets</t>
    <phoneticPr fontId="3" type="noConversion"/>
  </si>
  <si>
    <t>2Q24</t>
    <phoneticPr fontId="3" type="noConversion"/>
  </si>
  <si>
    <t>3Q24</t>
    <phoneticPr fontId="3" type="noConversion"/>
  </si>
  <si>
    <t>4Q24</t>
    <phoneticPr fontId="3" type="noConversion"/>
  </si>
  <si>
    <t>관계기업투자</t>
    <phoneticPr fontId="3" type="noConversion"/>
  </si>
  <si>
    <t>파생상품자산</t>
    <phoneticPr fontId="3" type="noConversion"/>
  </si>
  <si>
    <t>건물관리비</t>
    <phoneticPr fontId="3" type="noConversion"/>
  </si>
  <si>
    <t>Investments in Affiliates</t>
    <phoneticPr fontId="3" type="noConversion"/>
  </si>
  <si>
    <t>Depreciation/Amortization</t>
    <phoneticPr fontId="3" type="noConversion"/>
  </si>
  <si>
    <t>무형고정자산상각비</t>
    <phoneticPr fontId="3" type="noConversion"/>
  </si>
  <si>
    <t>세금과공과금</t>
    <phoneticPr fontId="3" type="noConversion"/>
  </si>
  <si>
    <t>슈링크RX/스케덤</t>
    <phoneticPr fontId="3" type="noConversion"/>
  </si>
  <si>
    <t>지분법손익</t>
    <phoneticPr fontId="3" type="noConversion"/>
  </si>
  <si>
    <t>SG&amp;A_Quarterly</t>
    <phoneticPr fontId="3" type="noConversion"/>
  </si>
  <si>
    <t>매출액</t>
    <phoneticPr fontId="3" type="noConversion"/>
  </si>
  <si>
    <t>Investment Property</t>
    <phoneticPr fontId="3" type="noConversion"/>
  </si>
  <si>
    <t>Non-Current Derivative Assets</t>
    <phoneticPr fontId="3" type="noConversion"/>
  </si>
  <si>
    <t>2Q24</t>
  </si>
  <si>
    <t>3Q24</t>
  </si>
  <si>
    <t>4Q24</t>
  </si>
  <si>
    <t>2018</t>
    <phoneticPr fontId="3" type="noConversion"/>
  </si>
  <si>
    <t>법인세차감전
순이익</t>
    <phoneticPr fontId="3" type="noConversion"/>
  </si>
  <si>
    <t>2) Sales by Brands</t>
    <phoneticPr fontId="3" type="noConversion"/>
  </si>
  <si>
    <t>유동비율</t>
    <phoneticPr fontId="3" type="noConversion"/>
  </si>
  <si>
    <t>부채비율</t>
    <phoneticPr fontId="3" type="noConversion"/>
  </si>
  <si>
    <t>Intangible Assets</t>
  </si>
  <si>
    <t>Investment Property</t>
  </si>
  <si>
    <t>충당부채(유동)</t>
    <phoneticPr fontId="3" type="noConversion"/>
  </si>
  <si>
    <t>Current Provision</t>
    <phoneticPr fontId="3" type="noConversion"/>
  </si>
  <si>
    <t>Building Maintenance Expenses</t>
    <phoneticPr fontId="3" type="noConversion"/>
  </si>
  <si>
    <t>판관비 합계</t>
    <phoneticPr fontId="3" type="noConversion"/>
  </si>
  <si>
    <t>전환사채(유동)</t>
    <phoneticPr fontId="3" type="noConversion"/>
  </si>
  <si>
    <t>Tax Expenses</t>
    <phoneticPr fontId="3" type="noConversion"/>
  </si>
  <si>
    <t>SG&amp;A_Annually</t>
    <phoneticPr fontId="3" type="noConversion"/>
  </si>
  <si>
    <t>Income Statement_Quarterly</t>
    <phoneticPr fontId="3" type="noConversion"/>
  </si>
  <si>
    <t>파생상품부채(유동)</t>
    <phoneticPr fontId="3" type="noConversion"/>
  </si>
  <si>
    <t>파생상품부채(비유동)</t>
    <phoneticPr fontId="3" type="noConversion"/>
  </si>
  <si>
    <t>1Q24</t>
  </si>
  <si>
    <t>1Q25</t>
    <phoneticPr fontId="3" type="noConversion"/>
  </si>
  <si>
    <t>임대료</t>
    <phoneticPr fontId="3" type="noConversion"/>
  </si>
  <si>
    <t>Current Loans Received</t>
    <phoneticPr fontId="3" type="noConversion"/>
  </si>
  <si>
    <t>Current Convertible Bonds</t>
    <phoneticPr fontId="3" type="noConversion"/>
  </si>
  <si>
    <t>Current Derivative Liabilities</t>
    <phoneticPr fontId="3" type="noConversion"/>
  </si>
  <si>
    <t>Current Liabilities</t>
    <phoneticPr fontId="3" type="noConversion"/>
  </si>
  <si>
    <t>Right-of-Use Assets</t>
    <phoneticPr fontId="3" type="noConversion"/>
  </si>
  <si>
    <t>Long-Term Borrowings</t>
    <phoneticPr fontId="3" type="noConversion"/>
  </si>
  <si>
    <t>Lease Liabilities</t>
    <phoneticPr fontId="3" type="noConversion"/>
  </si>
  <si>
    <t>Non-Current Lease Liabilities</t>
    <phoneticPr fontId="3" type="noConversion"/>
  </si>
  <si>
    <t>Capital Surplus</t>
    <phoneticPr fontId="3" type="noConversion"/>
  </si>
  <si>
    <t>Issued Capital</t>
    <phoneticPr fontId="3" type="noConversion"/>
  </si>
  <si>
    <t xml:space="preserve">Accumulated Other Comprehensive Income </t>
    <phoneticPr fontId="3" type="noConversion"/>
  </si>
  <si>
    <t>Retained Earnings</t>
    <phoneticPr fontId="3" type="noConversion"/>
  </si>
  <si>
    <t>Non-Controlling Interests</t>
    <phoneticPr fontId="3" type="noConversion"/>
  </si>
  <si>
    <t>Non-Current derivative liabilities</t>
    <phoneticPr fontId="3" type="noConversion"/>
  </si>
  <si>
    <t>R&amp;D Expenses</t>
    <phoneticPr fontId="3" type="noConversion"/>
  </si>
  <si>
    <t>Advertising</t>
    <phoneticPr fontId="3" type="noConversion"/>
  </si>
  <si>
    <t xml:space="preserve">Sales Commissions </t>
    <phoneticPr fontId="3" type="noConversion"/>
  </si>
  <si>
    <t>Warranty Expenses</t>
    <phoneticPr fontId="3" type="noConversion"/>
  </si>
  <si>
    <t xml:space="preserve">Miscellaneous Wages </t>
    <phoneticPr fontId="3" type="noConversion"/>
  </si>
  <si>
    <t>Share-based Compensation</t>
    <phoneticPr fontId="3" type="noConversion"/>
  </si>
  <si>
    <t>Entertainment Expenses</t>
    <phoneticPr fontId="3" type="noConversion"/>
  </si>
  <si>
    <t>Travel and Transportation Expenses</t>
    <phoneticPr fontId="3" type="noConversion"/>
  </si>
  <si>
    <t xml:space="preserve">Utilities </t>
    <phoneticPr fontId="3" type="noConversion"/>
  </si>
  <si>
    <t>Rent Expenses</t>
    <phoneticPr fontId="3" type="noConversion"/>
  </si>
  <si>
    <t>Insurance Expenses</t>
    <phoneticPr fontId="3" type="noConversion"/>
  </si>
  <si>
    <t>Freight and Delivery Expenses</t>
    <phoneticPr fontId="3" type="noConversion"/>
  </si>
  <si>
    <t>Training and Education Expenses</t>
    <phoneticPr fontId="3" type="noConversion"/>
  </si>
  <si>
    <t>Office Supplies Expense</t>
    <phoneticPr fontId="3" type="noConversion"/>
  </si>
  <si>
    <t>Supplies Expenses</t>
    <phoneticPr fontId="3" type="noConversion"/>
  </si>
  <si>
    <t>Bad Debt Expense</t>
    <phoneticPr fontId="3" type="noConversion"/>
  </si>
  <si>
    <t>Amortization of Intangible Assets</t>
    <phoneticPr fontId="3" type="noConversion"/>
  </si>
  <si>
    <t>Pre-Tax IncomeNet Income Before Income Tax</t>
  </si>
  <si>
    <t>Gross Profit</t>
    <phoneticPr fontId="3" type="noConversion"/>
  </si>
  <si>
    <t>Operating Profit</t>
    <phoneticPr fontId="3" type="noConversion"/>
  </si>
  <si>
    <t>Shurink RX/SKEDERM</t>
  </si>
  <si>
    <t>2Q24 YTD</t>
    <phoneticPr fontId="3" type="noConversion"/>
  </si>
  <si>
    <t>3Q24 YTD</t>
    <phoneticPr fontId="3" type="noConversion"/>
  </si>
  <si>
    <t>4Q24 YTD</t>
    <phoneticPr fontId="3" type="noConversion"/>
  </si>
  <si>
    <t>1Q22</t>
    <phoneticPr fontId="3" type="noConversion"/>
  </si>
  <si>
    <t>2Q22</t>
    <phoneticPr fontId="3" type="noConversion"/>
  </si>
  <si>
    <t>3Q22</t>
    <phoneticPr fontId="3" type="noConversion"/>
  </si>
  <si>
    <t>4Q22</t>
    <phoneticPr fontId="3" type="noConversion"/>
  </si>
  <si>
    <t>1Q23</t>
    <phoneticPr fontId="3" type="noConversion"/>
  </si>
  <si>
    <t>2Q23</t>
    <phoneticPr fontId="3" type="noConversion"/>
  </si>
  <si>
    <t>3Q23</t>
    <phoneticPr fontId="3" type="noConversion"/>
  </si>
  <si>
    <t>4Q23</t>
    <phoneticPr fontId="3" type="noConversion"/>
  </si>
  <si>
    <t>장비</t>
    <phoneticPr fontId="3" type="noConversion"/>
  </si>
  <si>
    <t>Device</t>
    <phoneticPr fontId="3" type="noConversion"/>
  </si>
  <si>
    <t>Consumable</t>
    <phoneticPr fontId="3" type="noConversion"/>
  </si>
  <si>
    <t>2017</t>
    <phoneticPr fontId="3" type="noConversion"/>
  </si>
  <si>
    <t>2019</t>
    <phoneticPr fontId="3" type="noConversion"/>
  </si>
  <si>
    <t>2020</t>
    <phoneticPr fontId="3" type="noConversion"/>
  </si>
  <si>
    <t>2021</t>
    <phoneticPr fontId="3" type="noConversion"/>
  </si>
  <si>
    <t>1Q17</t>
    <phoneticPr fontId="3" type="noConversion"/>
  </si>
  <si>
    <t>2Q17</t>
    <phoneticPr fontId="3" type="noConversion"/>
  </si>
  <si>
    <t>3Q17</t>
    <phoneticPr fontId="3" type="noConversion"/>
  </si>
  <si>
    <t>4Q17</t>
    <phoneticPr fontId="3" type="noConversion"/>
  </si>
  <si>
    <t>1Q18</t>
    <phoneticPr fontId="3" type="noConversion"/>
  </si>
  <si>
    <t>2Q18</t>
    <phoneticPr fontId="3" type="noConversion"/>
  </si>
  <si>
    <t>3Q18</t>
    <phoneticPr fontId="3" type="noConversion"/>
  </si>
  <si>
    <t>4Q18</t>
    <phoneticPr fontId="3" type="noConversion"/>
  </si>
  <si>
    <t>1Q19</t>
    <phoneticPr fontId="3" type="noConversion"/>
  </si>
  <si>
    <t>2Q19</t>
    <phoneticPr fontId="3" type="noConversion"/>
  </si>
  <si>
    <t>3Q19</t>
    <phoneticPr fontId="3" type="noConversion"/>
  </si>
  <si>
    <t>4Q19</t>
    <phoneticPr fontId="3" type="noConversion"/>
  </si>
  <si>
    <t>1Q20</t>
    <phoneticPr fontId="3" type="noConversion"/>
  </si>
  <si>
    <t>2Q20</t>
    <phoneticPr fontId="3" type="noConversion"/>
  </si>
  <si>
    <t>3Q20</t>
    <phoneticPr fontId="3" type="noConversion"/>
  </si>
  <si>
    <t>4Q20</t>
    <phoneticPr fontId="3" type="noConversion"/>
  </si>
  <si>
    <t>1Q21</t>
    <phoneticPr fontId="3" type="noConversion"/>
  </si>
  <si>
    <t>2Q21</t>
    <phoneticPr fontId="3" type="noConversion"/>
  </si>
  <si>
    <t>3Q21</t>
    <phoneticPr fontId="3" type="noConversion"/>
  </si>
  <si>
    <t>4Q21</t>
    <phoneticPr fontId="3" type="noConversion"/>
  </si>
  <si>
    <t>Gross profit</t>
    <phoneticPr fontId="3" type="noConversion"/>
  </si>
  <si>
    <t>Operating profit</t>
    <phoneticPr fontId="3" type="noConversion"/>
  </si>
  <si>
    <t>Equity Method gains and losses</t>
    <phoneticPr fontId="3" type="noConversion"/>
  </si>
  <si>
    <t>Pre-Tax Income</t>
    <phoneticPr fontId="3" type="noConversion"/>
  </si>
  <si>
    <t>클래시스</t>
    <phoneticPr fontId="3" type="noConversion"/>
  </si>
  <si>
    <t>CLASSYS</t>
    <phoneticPr fontId="3" type="noConversion"/>
  </si>
  <si>
    <t>클루덤</t>
    <phoneticPr fontId="3" type="noConversion"/>
  </si>
  <si>
    <t>Cluederm</t>
    <phoneticPr fontId="3" type="noConversion"/>
  </si>
  <si>
    <t>Consumables</t>
    <phoneticPr fontId="3" type="noConversion"/>
  </si>
  <si>
    <t>SHURINK RX/SKEDERM</t>
    <phoneticPr fontId="3" type="noConversion"/>
  </si>
  <si>
    <t>구 이루다 품목</t>
    <phoneticPr fontId="3" type="noConversion"/>
  </si>
  <si>
    <t>Formerly Ilooda product</t>
    <phoneticPr fontId="3" type="noConversion"/>
  </si>
  <si>
    <t>임대</t>
    <phoneticPr fontId="3" type="noConversion"/>
  </si>
  <si>
    <t>CLASSYS</t>
  </si>
  <si>
    <t>Cluederm</t>
  </si>
  <si>
    <t>Consumables</t>
  </si>
  <si>
    <t>스케덤/슈링크RX</t>
    <phoneticPr fontId="3" type="noConversion"/>
  </si>
  <si>
    <t>SKEDERM/SHURINK RX</t>
    <phoneticPr fontId="3" type="noConversion"/>
  </si>
  <si>
    <t>Rentals</t>
  </si>
  <si>
    <t>법인세차감전순이익</t>
    <phoneticPr fontId="3" type="noConversion"/>
  </si>
  <si>
    <t>TB</t>
    <phoneticPr fontId="3" type="noConversion"/>
  </si>
  <si>
    <t>원/달러 환율</t>
    <phoneticPr fontId="3" type="noConversion"/>
  </si>
  <si>
    <t>1Q22</t>
  </si>
  <si>
    <t>2Q22</t>
  </si>
  <si>
    <t>3Q22</t>
  </si>
  <si>
    <t>4Q22</t>
  </si>
  <si>
    <t>1Q23</t>
  </si>
  <si>
    <t>2Q23</t>
  </si>
  <si>
    <t>3Q23</t>
  </si>
  <si>
    <t>4Q23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</si>
  <si>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</si>
  <si>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</si>
  <si>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</si>
  <si>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</si>
  <si>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</si>
  <si>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</si>
  <si>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</si>
  <si>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</si>
  <si>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</si>
  <si>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</si>
  <si>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</si>
  <si>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</si>
  <si>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</si>
  <si>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</si>
  <si>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</si>
  <si>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</si>
  <si>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/>
  </si>
  <si>
    <t>Income Statement_Year To Date</t>
    <phoneticPr fontId="3" type="noConversion"/>
  </si>
  <si>
    <t>2018년</t>
    <phoneticPr fontId="3" type="noConversion"/>
  </si>
  <si>
    <t>2019년</t>
    <phoneticPr fontId="3" type="noConversion"/>
  </si>
  <si>
    <t>2020년</t>
    <phoneticPr fontId="3" type="noConversion"/>
  </si>
  <si>
    <t>2021년</t>
    <phoneticPr fontId="3" type="noConversion"/>
  </si>
  <si>
    <t>2022년</t>
    <phoneticPr fontId="3" type="noConversion"/>
  </si>
  <si>
    <t>2023년</t>
    <phoneticPr fontId="3" type="noConversion"/>
  </si>
  <si>
    <t>2024년</t>
    <phoneticPr fontId="3" type="noConversion"/>
  </si>
  <si>
    <t>SKEDERM / SHURINK RX</t>
    <phoneticPr fontId="3" type="noConversion"/>
  </si>
  <si>
    <t>▼Merger with Ilooda(24.10.01)</t>
    <phoneticPr fontId="3" type="noConversion"/>
  </si>
  <si>
    <t>▼Reclassification of Revenue</t>
    <phoneticPr fontId="3" type="noConversion"/>
  </si>
  <si>
    <t>▼Merger with Ilooda (24.10.01)</t>
    <phoneticPr fontId="3" type="noConversion"/>
  </si>
  <si>
    <t>Global</t>
  </si>
  <si>
    <t>Korea</t>
  </si>
  <si>
    <t>지배주주 순이익</t>
    <phoneticPr fontId="3" type="noConversion"/>
  </si>
  <si>
    <t>Attributable net income</t>
    <phoneticPr fontId="3" type="noConversion"/>
  </si>
  <si>
    <t>지배주주순이익</t>
    <phoneticPr fontId="3" type="noConversion"/>
  </si>
  <si>
    <t>Net Income</t>
    <phoneticPr fontId="3" type="noConversion"/>
  </si>
  <si>
    <t>Accounts Receivable</t>
    <phoneticPr fontId="3" type="noConversion"/>
  </si>
  <si>
    <t xml:space="preserve">Other Receivables </t>
    <phoneticPr fontId="3" type="noConversion"/>
  </si>
  <si>
    <t>매출채권</t>
    <phoneticPr fontId="3" type="noConversion"/>
  </si>
  <si>
    <t>기타채권</t>
    <phoneticPr fontId="3" type="noConversion"/>
  </si>
  <si>
    <t>2Q25</t>
    <phoneticPr fontId="3" type="noConversion"/>
  </si>
  <si>
    <t>2Q25 YTD</t>
    <phoneticPr fontId="3" type="noConversion"/>
  </si>
  <si>
    <t>기타채무</t>
    <phoneticPr fontId="3" type="noConversion"/>
  </si>
  <si>
    <t>매입채무</t>
    <phoneticPr fontId="3" type="noConversion"/>
  </si>
  <si>
    <t>Accounts Payable</t>
    <phoneticPr fontId="3" type="noConversion"/>
  </si>
  <si>
    <t>Other Financial Assets</t>
    <phoneticPr fontId="3" type="noConversion"/>
  </si>
  <si>
    <t>현금성자산 등</t>
    <phoneticPr fontId="3" type="noConversion"/>
  </si>
  <si>
    <t>Cash &amp; cash equivalents. Etc</t>
    <phoneticPr fontId="3" type="noConversion"/>
  </si>
  <si>
    <t>Cash &amp; cash equivalents</t>
    <phoneticPr fontId="3" type="noConversion"/>
  </si>
  <si>
    <t>Meeting Expenses</t>
    <phoneticPr fontId="3" type="noConversion"/>
  </si>
  <si>
    <t>2Q18 YTD</t>
    <phoneticPr fontId="3" type="noConversion"/>
  </si>
  <si>
    <t>3Q18 YTD</t>
    <phoneticPr fontId="3" type="noConversion"/>
  </si>
  <si>
    <t>4Q18 YTD</t>
    <phoneticPr fontId="3" type="noConversion"/>
  </si>
  <si>
    <t>2Q19 YTD</t>
    <phoneticPr fontId="3" type="noConversion"/>
  </si>
  <si>
    <t>3Q19 YTD</t>
    <phoneticPr fontId="3" type="noConversion"/>
  </si>
  <si>
    <t>4Q19 YTD</t>
    <phoneticPr fontId="3" type="noConversion"/>
  </si>
  <si>
    <t>2Q20 YTD</t>
    <phoneticPr fontId="3" type="noConversion"/>
  </si>
  <si>
    <t>3Q20 YTD</t>
    <phoneticPr fontId="3" type="noConversion"/>
  </si>
  <si>
    <t>4Q20 YTD</t>
    <phoneticPr fontId="3" type="noConversion"/>
  </si>
  <si>
    <t>2Q21 YTD</t>
    <phoneticPr fontId="3" type="noConversion"/>
  </si>
  <si>
    <t>3Q21 YTD</t>
    <phoneticPr fontId="3" type="noConversion"/>
  </si>
  <si>
    <t>4Q21 YTD</t>
    <phoneticPr fontId="3" type="noConversion"/>
  </si>
  <si>
    <t>2Q22 YTD</t>
    <phoneticPr fontId="3" type="noConversion"/>
  </si>
  <si>
    <t>3Q22 YTD</t>
    <phoneticPr fontId="3" type="noConversion"/>
  </si>
  <si>
    <t>4Q22 YTD</t>
    <phoneticPr fontId="3" type="noConversion"/>
  </si>
  <si>
    <t>2Q23 YTD</t>
    <phoneticPr fontId="3" type="noConversion"/>
  </si>
  <si>
    <t>3Q23 YTD</t>
    <phoneticPr fontId="3" type="noConversion"/>
  </si>
  <si>
    <t>4Q23 YTD</t>
    <phoneticPr fontId="3" type="noConversion"/>
  </si>
  <si>
    <t>No disclosure</t>
    <phoneticPr fontId="3" type="noConversion"/>
  </si>
  <si>
    <t>홈케어</t>
    <phoneticPr fontId="3" type="noConversion"/>
  </si>
  <si>
    <t>Homecare</t>
    <phoneticPr fontId="3" type="noConversion"/>
  </si>
  <si>
    <t>3Q25</t>
    <phoneticPr fontId="3" type="noConversion"/>
  </si>
  <si>
    <t>3Q25 YTD</t>
    <phoneticPr fontId="3" type="noConversion"/>
  </si>
  <si>
    <t>장기기타채권</t>
    <phoneticPr fontId="3" type="noConversion"/>
  </si>
  <si>
    <t>Other Non-current Assets</t>
    <phoneticPr fontId="3" type="noConversion"/>
  </si>
  <si>
    <t>Non-current Financial Assets</t>
    <phoneticPr fontId="3" type="noConversion"/>
  </si>
  <si>
    <t>영업외수익 - 금융수익</t>
    <phoneticPr fontId="47" type="noConversion"/>
  </si>
  <si>
    <t>이자수익</t>
    <phoneticPr fontId="47" type="noConversion"/>
  </si>
  <si>
    <t>금융자산평가이익</t>
    <phoneticPr fontId="47" type="noConversion"/>
  </si>
  <si>
    <t>외환차익</t>
    <phoneticPr fontId="47" type="noConversion"/>
  </si>
  <si>
    <t>외화환산이익</t>
    <phoneticPr fontId="47" type="noConversion"/>
  </si>
  <si>
    <t>영업외비용 - 금융비용</t>
    <phoneticPr fontId="47" type="noConversion"/>
  </si>
  <si>
    <t>이자비용</t>
    <phoneticPr fontId="47" type="noConversion"/>
  </si>
  <si>
    <t>매출채권처분손실</t>
    <phoneticPr fontId="47" type="noConversion"/>
  </si>
  <si>
    <t>외환차손</t>
    <phoneticPr fontId="47" type="noConversion"/>
  </si>
  <si>
    <t>파생상품평가손실</t>
    <phoneticPr fontId="47" type="noConversion"/>
  </si>
  <si>
    <t>금융자산평가손실</t>
    <phoneticPr fontId="47" type="noConversion"/>
  </si>
  <si>
    <t>외화환산손실</t>
    <phoneticPr fontId="47" type="noConversion"/>
  </si>
  <si>
    <t>Other Liabilities</t>
    <phoneticPr fontId="3" type="noConversion"/>
  </si>
  <si>
    <t xml:space="preserve"> 미지급비용</t>
    <phoneticPr fontId="3" type="noConversion"/>
  </si>
  <si>
    <t xml:space="preserve"> 미지급금</t>
    <phoneticPr fontId="3" type="noConversion"/>
  </si>
  <si>
    <t xml:space="preserve"> 예수보증금</t>
    <phoneticPr fontId="3" type="noConversion"/>
  </si>
  <si>
    <t xml:space="preserve"> 주식선택권</t>
    <phoneticPr fontId="3" type="noConversion"/>
  </si>
  <si>
    <t xml:space="preserve"> 자기주식</t>
    <phoneticPr fontId="3" type="noConversion"/>
  </si>
  <si>
    <t xml:space="preserve"> 자기주식처분손실</t>
    <phoneticPr fontId="3" type="noConversion"/>
  </si>
  <si>
    <t>Interest Income</t>
  </si>
  <si>
    <t>Gain on Valuation of Financial Assets</t>
  </si>
  <si>
    <t>Gain on Foreign Currency Translation</t>
  </si>
  <si>
    <t>Gain on Foreign Exchange</t>
  </si>
  <si>
    <t>Interest Expenses</t>
  </si>
  <si>
    <t>Loss on Disposal of Trade Receivables</t>
  </si>
  <si>
    <t>Loss on Foreign Exchange</t>
  </si>
  <si>
    <t>Loss on Valuation of Derivatives</t>
  </si>
  <si>
    <t>Loss on Valuation of Financial Assets</t>
  </si>
  <si>
    <t>Loss on Foreign Currency Translation</t>
  </si>
  <si>
    <t>Net Income Before Income Tax</t>
    <phoneticPr fontId="3" type="noConversion"/>
  </si>
  <si>
    <t>Accrued Expenses</t>
    <phoneticPr fontId="3" type="noConversion"/>
  </si>
  <si>
    <t>Deposits Received</t>
    <phoneticPr fontId="3" type="noConversion"/>
  </si>
  <si>
    <t>Share-based Payment</t>
    <phoneticPr fontId="3" type="noConversion"/>
  </si>
  <si>
    <t>Treasury Shares</t>
    <phoneticPr fontId="3" type="noConversion"/>
  </si>
  <si>
    <t>Loss on Disposal of Treasury Shares</t>
    <phoneticPr fontId="3" type="noConversion"/>
  </si>
  <si>
    <t>반품충당부채</t>
    <phoneticPr fontId="3" type="noConversion"/>
  </si>
  <si>
    <t>Provision for Sales Returns</t>
    <phoneticPr fontId="3" type="noConversion"/>
  </si>
  <si>
    <t>미지급 배당금</t>
    <phoneticPr fontId="3" type="noConversion"/>
  </si>
  <si>
    <t>Dividends Payable</t>
    <phoneticPr fontId="3" type="noConversion"/>
  </si>
  <si>
    <t>2Q24 YTD</t>
  </si>
  <si>
    <t>3Q24 YTD</t>
  </si>
  <si>
    <t>4Q24 YTD</t>
  </si>
  <si>
    <t>1Q25</t>
  </si>
  <si>
    <t>2Q25 YTD</t>
  </si>
  <si>
    <t>3Q25 YTD</t>
  </si>
  <si>
    <t>(Unit: Billion KRW)</t>
    <phoneticPr fontId="3" type="noConversion"/>
  </si>
  <si>
    <t>(단위 : %)</t>
    <phoneticPr fontId="3" type="noConversion"/>
  </si>
  <si>
    <t>(Unit: %)</t>
    <phoneticPr fontId="3" type="noConversion"/>
  </si>
  <si>
    <t>(단위 : 백만원)</t>
  </si>
  <si>
    <t>(단위 : 백만원)</t>
    <phoneticPr fontId="3" type="noConversion"/>
  </si>
  <si>
    <t>(Unit: Million KRW)</t>
  </si>
  <si>
    <t>(Unit: Million KRW)</t>
    <phoneticPr fontId="3" type="noConversion"/>
  </si>
  <si>
    <t>(Note 1) Net income = attributable to owners of the parent company 
(Note 2) If negative or expenses, shown in parentheses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</si>
</sst>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176" formatCode="_-* #,##0.0_-;\-* #,##0.0_-;_-* &quot;-&quot;_-;_-@_-"/>
    <numFmt numFmtId="177" formatCode="_-* #,##0.0_-;\-* #,##0.0_-;_-* &quot;-&quot;??_-;_-@_-"/>
    <numFmt numFmtId="178" formatCode="#,##0_);[Red]\(#,##0\)"/>
    <numFmt numFmtId="179" formatCode="#,##0.00_);[Red]\(#,##0.00\)"/>
    <numFmt numFmtId="180" formatCode="#,##0.0_);[Red]\(#,##0.0\)"/>
    <numFmt numFmtId="181" formatCode="0.0%"/>
    <numFmt numFmtId="182" formatCode="0.0"/>
    <numFmt numFmtId="183" formatCode="0.0_);[Red]\(0.0\)"/>
    <numFmt numFmtId="184" formatCode="0.0_);\(0.0\)"/>
    <numFmt numFmtId="185" formatCode="#,##0.0_);\(#,##0.0\)"/>
    <numFmt numFmtId="186" formatCode="#,##0_);\(#,##0\)"/>
    <numFmt numFmtId="187" formatCode="[Red]\+0.0%;[Blue]\-0.0%"/>
    <numFmt numFmtId="188" formatCode="[Red]\+0.0%\p;[Blue]\-0.0%\p"/>
    <numFmt numFmtId="189" formatCode="#,##0.000_);[Red]\(#,##0.000\)"/>
    <numFmt numFmtId="190" formatCode="@\ &quot;YTD&quot;"/>
    <numFmt numFmtId="191" formatCode="0_);\(0\)"/>
    <numFmt numFmtId="192" formatCode="0.00_);\(0.00\)"/>
    <numFmt numFmtId="193" formatCode="[Red]0%;[Blue]\-0%"/>
  </numFmts>
  <fonts count="6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</font>
    <font>
      <sz val="9"/>
      <color rgb="FF575757"/>
      <name val="맑은 고딕"/>
      <family val="3"/>
      <charset val="129"/>
    </font>
    <font>
      <sz val="8"/>
      <color rgb="FF575757"/>
      <name val="맑은 고딕"/>
      <family val="3"/>
      <charset val="129"/>
    </font>
    <font>
      <b/>
      <sz val="9"/>
      <color rgb="FF575757"/>
      <name val="맑은 고딕"/>
      <family val="3"/>
      <charset val="129"/>
    </font>
    <font>
      <b/>
      <sz val="9"/>
      <color rgb="FF37373A"/>
      <name val="맑은 고딕"/>
      <family val="3"/>
      <charset val="129"/>
    </font>
    <font>
      <b/>
      <sz val="9"/>
      <color theme="0"/>
      <name val="맑은 고딕"/>
      <family val="3"/>
      <charset val="129"/>
      <scheme val="minor"/>
    </font>
    <font>
      <sz val="9"/>
      <color theme="1"/>
      <name val="맑은 고딕"/>
      <family val="2"/>
      <scheme val="minor"/>
    </font>
    <font>
      <b/>
      <sz val="9"/>
      <color theme="0"/>
      <name val="맑은 고딕"/>
      <family val="2"/>
      <scheme val="minor"/>
    </font>
    <font>
      <sz val="9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9"/>
      <color theme="1"/>
      <name val="맑은 고딕"/>
      <family val="2"/>
      <charset val="129"/>
      <scheme val="minor"/>
    </font>
    <font>
      <sz val="9"/>
      <name val="Arial"/>
      <family val="2"/>
    </font>
    <font>
      <sz val="9"/>
      <color rgb="FF0070C0"/>
      <name val="맑은 고딕"/>
      <family val="2"/>
      <scheme val="minor"/>
    </font>
    <font>
      <b/>
      <sz val="9"/>
      <color theme="1"/>
      <name val="맑은 고딕"/>
      <family val="2"/>
      <scheme val="minor"/>
    </font>
    <font>
      <b/>
      <sz val="9"/>
      <name val="맑은 고딕"/>
      <family val="2"/>
      <scheme val="minor"/>
    </font>
    <font>
      <sz val="9"/>
      <name val="맑은 고딕"/>
      <family val="2"/>
      <scheme val="minor"/>
    </font>
    <font>
      <b/>
      <sz val="9"/>
      <color rgb="FF0070C0"/>
      <name val="맑은 고딕"/>
      <family val="2"/>
      <scheme val="minor"/>
    </font>
    <font>
      <i/>
      <sz val="9"/>
      <color theme="2" tint="-0.499984740745262"/>
      <name val="맑은 고딕"/>
      <family val="2"/>
      <scheme val="minor"/>
    </font>
    <font>
      <b/>
      <i/>
      <sz val="9"/>
      <color theme="2" tint="-0.499984740745262"/>
      <name val="맑은 고딕"/>
      <family val="2"/>
      <scheme val="minor"/>
    </font>
    <font>
      <b/>
      <sz val="9"/>
      <color theme="1" tint="0.499984740745262"/>
      <name val="맑은 고딕"/>
      <family val="2"/>
      <scheme val="minor"/>
    </font>
    <font>
      <sz val="9"/>
      <color theme="1" tint="0.249977111117893"/>
      <name val="맑은 고딕"/>
      <family val="2"/>
      <scheme val="minor"/>
    </font>
    <font>
      <i/>
      <sz val="9"/>
      <name val="맑은 고딕"/>
      <family val="3"/>
      <charset val="129"/>
      <scheme val="minor"/>
    </font>
    <font>
      <sz val="9"/>
      <color theme="0" tint="-0.499984740745262"/>
      <name val="맑은 고딕"/>
      <family val="3"/>
      <charset val="129"/>
      <scheme val="minor"/>
    </font>
    <font>
      <sz val="9"/>
      <color theme="0"/>
      <name val="맑은 고딕"/>
      <family val="2"/>
      <charset val="129"/>
      <scheme val="minor"/>
    </font>
    <font>
      <sz val="9"/>
      <color theme="2" tint="-0.249977111117893"/>
      <name val="맑은 고딕"/>
      <family val="2"/>
      <scheme val="minor"/>
    </font>
    <font>
      <sz val="9"/>
      <color theme="0"/>
      <name val="맑은 고딕"/>
      <family val="3"/>
      <charset val="129"/>
      <scheme val="minor"/>
    </font>
    <font>
      <sz val="11"/>
      <color theme="2"/>
      <name val="맑은 고딕"/>
      <family val="2"/>
      <charset val="129"/>
      <scheme val="minor"/>
    </font>
    <font>
      <b/>
      <sz val="9"/>
      <color rgb="FFFFFFFF"/>
      <name val="맑은 고딕"/>
      <family val="3"/>
      <charset val="129"/>
    </font>
    <font>
      <b/>
      <sz val="9"/>
      <color rgb="FF2E3558"/>
      <name val="맑은 고딕"/>
      <family val="3"/>
      <charset val="129"/>
    </font>
    <font>
      <sz val="9"/>
      <color theme="0"/>
      <name val="Arial"/>
      <family val="2"/>
    </font>
    <font>
      <sz val="9"/>
      <color rgb="FF797979"/>
      <name val="맑은 고딕"/>
      <family val="3"/>
      <charset val="129"/>
    </font>
    <font>
      <b/>
      <sz val="9"/>
      <color rgb="FF295E7E"/>
      <name val="맑은 고딕"/>
      <family val="3"/>
      <charset val="129"/>
    </font>
    <font>
      <sz val="9"/>
      <color theme="2"/>
      <name val="맑은 고딕"/>
      <family val="3"/>
      <charset val="129"/>
      <scheme val="minor"/>
    </font>
    <font>
      <i/>
      <sz val="9"/>
      <color theme="2" tint="-0.499984740745262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2"/>
      <name val="맑은 고딕"/>
      <family val="3"/>
      <charset val="129"/>
      <scheme val="minor"/>
    </font>
    <font>
      <sz val="9"/>
      <color rgb="FF2E3558"/>
      <name val="맑은 고딕"/>
      <family val="3"/>
      <charset val="129"/>
    </font>
    <font>
      <b/>
      <sz val="9"/>
      <name val="맑은 고딕"/>
      <family val="3"/>
      <charset val="129"/>
    </font>
    <font>
      <b/>
      <sz val="9"/>
      <name val="Arial"/>
      <family val="2"/>
    </font>
    <font>
      <sz val="8"/>
      <name val="맑은 고딕"/>
      <family val="3"/>
      <charset val="129"/>
    </font>
    <font>
      <sz val="8"/>
      <color theme="0"/>
      <name val="맑은 고딕"/>
      <family val="3"/>
      <charset val="129"/>
      <scheme val="minor"/>
    </font>
    <font>
      <b/>
      <sz val="9"/>
      <color theme="1"/>
      <name val="맑은 고딕"/>
      <family val="2"/>
      <charset val="129"/>
      <scheme val="minor"/>
    </font>
    <font>
      <sz val="9"/>
      <color theme="1" tint="0.499984740745262"/>
      <name val="맑은 고딕"/>
      <family val="3"/>
      <charset val="129"/>
      <scheme val="minor"/>
    </font>
    <font>
      <i/>
      <sz val="9"/>
      <color theme="1"/>
      <name val="맑은 고딕"/>
      <family val="3"/>
      <charset val="129"/>
    </font>
    <font>
      <b/>
      <sz val="9"/>
      <color theme="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9"/>
      <color theme="0"/>
      <name val="맑은 고딕"/>
      <family val="2"/>
      <charset val="129"/>
      <scheme val="minor"/>
    </font>
    <font>
      <b/>
      <sz val="9"/>
      <color rgb="FF0070C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i/>
      <sz val="9"/>
      <name val="맑은 고딕"/>
      <family val="3"/>
      <charset val="129"/>
      <scheme val="minor"/>
    </font>
    <font>
      <sz val="9"/>
      <color theme="2" tint="-9.9978637043366805E-2"/>
      <name val="맑은 고딕"/>
      <family val="2"/>
      <scheme val="minor"/>
    </font>
    <font>
      <sz val="9"/>
      <color theme="0" tint="-0.249977111117893"/>
      <name val="맑은 고딕"/>
      <family val="2"/>
      <scheme val="minor"/>
    </font>
    <font>
      <b/>
      <sz val="11"/>
      <color theme="0"/>
      <name val="맑은 고딕"/>
      <family val="3"/>
      <charset val="129"/>
      <scheme val="minor"/>
    </font>
    <font>
      <sz val="9"/>
      <color rgb="FF6D6E71"/>
      <name val="맑은 고딕"/>
      <family val="3"/>
      <charset val="129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AEC"/>
        <bgColor indexed="64"/>
      </patternFill>
    </fill>
    <fill>
      <patternFill patternType="solid">
        <fgColor rgb="FFCDD2D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1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575757"/>
      </left>
      <right style="thin">
        <color rgb="FF575757"/>
      </right>
      <top style="thin">
        <color rgb="FF575757"/>
      </top>
      <bottom/>
      <diagonal/>
    </border>
    <border>
      <left style="thin">
        <color rgb="FF575757"/>
      </left>
      <right style="thin">
        <color rgb="FF575757"/>
      </right>
      <top/>
      <bottom/>
      <diagonal/>
    </border>
    <border>
      <left style="thin">
        <color rgb="FF575757"/>
      </left>
      <right style="thin">
        <color rgb="FF575757"/>
      </right>
      <top/>
      <bottom style="thin">
        <color rgb="FF575757"/>
      </bottom>
      <diagonal/>
    </border>
    <border>
      <left style="thin">
        <color rgb="FF575757"/>
      </left>
      <right style="thin">
        <color rgb="FF575757"/>
      </right>
      <top/>
      <bottom style="medium">
        <color rgb="FF575757"/>
      </bottom>
      <diagonal/>
    </border>
    <border>
      <left style="thin">
        <color rgb="FF575757"/>
      </left>
      <right style="thin">
        <color rgb="FF575757"/>
      </right>
      <top style="medium">
        <color rgb="FF575757"/>
      </top>
      <bottom/>
      <diagonal/>
    </border>
    <border>
      <left style="thin">
        <color rgb="FF575757"/>
      </left>
      <right/>
      <top style="thin">
        <color rgb="FF575757"/>
      </top>
      <bottom/>
      <diagonal/>
    </border>
    <border>
      <left/>
      <right/>
      <top style="thin">
        <color rgb="FF575757"/>
      </top>
      <bottom/>
      <diagonal/>
    </border>
    <border>
      <left/>
      <right style="thin">
        <color rgb="FF575757"/>
      </right>
      <top style="thin">
        <color rgb="FF575757"/>
      </top>
      <bottom/>
      <diagonal/>
    </border>
    <border>
      <left style="thin">
        <color rgb="FF575757"/>
      </left>
      <right/>
      <top/>
      <bottom style="medium">
        <color rgb="FFFFFFFF"/>
      </bottom>
      <diagonal/>
    </border>
    <border>
      <left/>
      <right/>
      <top/>
      <bottom style="medium">
        <color rgb="FFDADADA"/>
      </bottom>
      <diagonal/>
    </border>
    <border>
      <left/>
      <right style="thin">
        <color rgb="FF575757"/>
      </right>
      <top/>
      <bottom style="medium">
        <color rgb="FFDADADA"/>
      </bottom>
      <diagonal/>
    </border>
    <border>
      <left style="thin">
        <color rgb="FF575757"/>
      </left>
      <right style="thin">
        <color rgb="FF575757"/>
      </right>
      <top/>
      <bottom style="medium">
        <color rgb="FFDADADA"/>
      </bottom>
      <diagonal/>
    </border>
    <border>
      <left style="thin">
        <color rgb="FF575757"/>
      </left>
      <right style="medium">
        <color rgb="FFDADADA"/>
      </right>
      <top style="medium">
        <color rgb="FFFFFFFF"/>
      </top>
      <bottom style="medium">
        <color rgb="FFFFFFFF"/>
      </bottom>
      <diagonal/>
    </border>
    <border>
      <left style="thin">
        <color rgb="FF575757"/>
      </left>
      <right style="medium">
        <color rgb="FFDADADA"/>
      </right>
      <top style="medium">
        <color rgb="FFFFFFFF"/>
      </top>
      <bottom/>
      <diagonal/>
    </border>
    <border>
      <left style="thin">
        <color rgb="FF575757"/>
      </left>
      <right style="medium">
        <color rgb="FFDADADA"/>
      </right>
      <top/>
      <bottom/>
      <diagonal/>
    </border>
    <border>
      <left style="thin">
        <color rgb="FF575757"/>
      </left>
      <right style="medium">
        <color rgb="FFDADADA"/>
      </right>
      <top/>
      <bottom style="medium">
        <color rgb="FFFFFFFF"/>
      </bottom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thin">
        <color rgb="FF575757"/>
      </right>
      <top style="medium">
        <color rgb="FFDADADA"/>
      </top>
      <bottom style="medium">
        <color rgb="FFDADADA"/>
      </bottom>
      <diagonal/>
    </border>
    <border>
      <left style="thin">
        <color rgb="FF575757"/>
      </left>
      <right style="thin">
        <color rgb="FF575757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FFFFFF"/>
      </bottom>
      <diagonal/>
    </border>
    <border>
      <left style="medium">
        <color rgb="FFDADADA"/>
      </left>
      <right style="thin">
        <color rgb="FF575757"/>
      </right>
      <top style="medium">
        <color rgb="FFDADADA"/>
      </top>
      <bottom style="medium">
        <color rgb="FFFFFFFF"/>
      </bottom>
      <diagonal/>
    </border>
    <border>
      <left style="thin">
        <color rgb="FF575757"/>
      </left>
      <right style="thin">
        <color rgb="FF575757"/>
      </right>
      <top style="medium">
        <color rgb="FFDADADA"/>
      </top>
      <bottom style="medium">
        <color rgb="FFFFFFFF"/>
      </bottom>
      <diagonal/>
    </border>
    <border>
      <left style="medium">
        <color rgb="FFDADADA"/>
      </left>
      <right style="medium">
        <color rgb="FFDADADA"/>
      </right>
      <top style="medium">
        <color rgb="FFFFFFFF"/>
      </top>
      <bottom style="medium">
        <color rgb="FFFFFFFF"/>
      </bottom>
      <diagonal/>
    </border>
    <border>
      <left style="medium">
        <color rgb="FFDADADA"/>
      </left>
      <right style="thin">
        <color rgb="FF575757"/>
      </right>
      <top style="medium">
        <color rgb="FFFFFFFF"/>
      </top>
      <bottom style="medium">
        <color rgb="FFFFFFFF"/>
      </bottom>
      <diagonal/>
    </border>
    <border>
      <left style="thin">
        <color rgb="FF575757"/>
      </left>
      <right style="thin">
        <color rgb="FF575757"/>
      </right>
      <top style="medium">
        <color rgb="FFFFFFFF"/>
      </top>
      <bottom style="medium">
        <color rgb="FFFFFFFF"/>
      </bottom>
      <diagonal/>
    </border>
    <border>
      <left style="medium">
        <color rgb="FFDADADA"/>
      </left>
      <right style="thin">
        <color rgb="FF575757"/>
      </right>
      <top style="medium">
        <color rgb="FFFFFFFF"/>
      </top>
      <bottom style="medium">
        <color rgb="FFDADADA"/>
      </bottom>
      <diagonal/>
    </border>
    <border>
      <left style="thin">
        <color rgb="FF575757"/>
      </left>
      <right style="thin">
        <color rgb="FF575757"/>
      </right>
      <top style="medium">
        <color rgb="FFFFFFFF"/>
      </top>
      <bottom style="medium">
        <color rgb="FFDADADA"/>
      </bottom>
      <diagonal/>
    </border>
    <border>
      <left style="thin">
        <color rgb="FF575757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DADADA"/>
      </top>
      <bottom style="medium">
        <color rgb="FFFFFFFF"/>
      </bottom>
      <diagonal/>
    </border>
    <border>
      <left/>
      <right style="thin">
        <color rgb="FF575757"/>
      </right>
      <top style="medium">
        <color rgb="FFDADADA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thin">
        <color rgb="FF575757"/>
      </right>
      <top style="medium">
        <color rgb="FFFFFFFF"/>
      </top>
      <bottom style="medium">
        <color rgb="FFDADADA"/>
      </bottom>
      <diagonal/>
    </border>
    <border>
      <left/>
      <right style="thin">
        <color rgb="FF575757"/>
      </right>
      <top style="medium">
        <color rgb="FFFFFFFF"/>
      </top>
      <bottom style="medium">
        <color rgb="FFFFFFFF"/>
      </bottom>
      <diagonal/>
    </border>
    <border>
      <left style="thin">
        <color rgb="FF575757"/>
      </left>
      <right/>
      <top style="medium">
        <color rgb="FFFFFFFF"/>
      </top>
      <bottom style="thin">
        <color rgb="FF575757"/>
      </bottom>
      <diagonal/>
    </border>
    <border>
      <left/>
      <right style="thin">
        <color rgb="FF575757"/>
      </right>
      <top style="medium">
        <color rgb="FFFFFFFF"/>
      </top>
      <bottom style="thin">
        <color rgb="FF575757"/>
      </bottom>
      <diagonal/>
    </border>
    <border>
      <left/>
      <right/>
      <top style="medium">
        <color rgb="FFFFFFFF"/>
      </top>
      <bottom style="thin">
        <color rgb="FF575757"/>
      </bottom>
      <diagonal/>
    </border>
    <border>
      <left style="thin">
        <color rgb="FF575757"/>
      </left>
      <right style="thin">
        <color rgb="FF575757"/>
      </right>
      <top style="medium">
        <color rgb="FFFFFFFF"/>
      </top>
      <bottom style="thin">
        <color rgb="FF575757"/>
      </bottom>
      <diagonal/>
    </border>
    <border>
      <left style="thin">
        <color rgb="FF575757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thin">
        <color rgb="FF575757"/>
      </left>
      <right style="medium">
        <color rgb="FFDADADA"/>
      </right>
      <top style="thick">
        <color rgb="FFFFFFFF"/>
      </top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 style="medium">
        <color rgb="FFDADADA"/>
      </left>
      <right/>
      <top/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/>
      <top style="medium">
        <color rgb="FFFFFFFF"/>
      </top>
      <bottom style="medium">
        <color rgb="FFDADAD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theme="2" tint="-0.749992370372631"/>
      </left>
      <right style="dashed">
        <color theme="2" tint="-0.749992370372631"/>
      </right>
      <top/>
      <bottom/>
      <diagonal/>
    </border>
    <border>
      <left style="medium">
        <color indexed="64"/>
      </left>
      <right style="dashed">
        <color theme="2" tint="-0.749992370372631"/>
      </right>
      <top/>
      <bottom/>
      <diagonal/>
    </border>
    <border>
      <left style="medium">
        <color indexed="64"/>
      </left>
      <right style="dashed">
        <color theme="2" tint="-0.749992370372631"/>
      </right>
      <top/>
      <bottom style="medium">
        <color indexed="64"/>
      </bottom>
      <diagonal/>
    </border>
    <border>
      <left/>
      <right style="dashed">
        <color theme="2" tint="-0.749992370372631"/>
      </right>
      <top/>
      <bottom style="medium">
        <color indexed="64"/>
      </bottom>
      <diagonal/>
    </border>
    <border>
      <left/>
      <right style="dashed">
        <color theme="2" tint="-0.749992370372631"/>
      </right>
      <top/>
      <bottom/>
      <diagonal/>
    </border>
    <border>
      <left style="medium">
        <color theme="2" tint="-0.749992370372631"/>
      </left>
      <right/>
      <top style="medium">
        <color theme="2" tint="-0.749992370372631"/>
      </top>
      <bottom/>
      <diagonal/>
    </border>
    <border>
      <left/>
      <right/>
      <top style="medium">
        <color theme="2" tint="-0.749992370372631"/>
      </top>
      <bottom/>
      <diagonal/>
    </border>
    <border>
      <left/>
      <right style="medium">
        <color theme="2" tint="-0.749992370372631"/>
      </right>
      <top style="medium">
        <color theme="2" tint="-0.749992370372631"/>
      </top>
      <bottom/>
      <diagonal/>
    </border>
    <border>
      <left style="medium">
        <color theme="2" tint="-0.749992370372631"/>
      </left>
      <right/>
      <top/>
      <bottom/>
      <diagonal/>
    </border>
    <border>
      <left/>
      <right style="medium">
        <color theme="2" tint="-0.749992370372631"/>
      </right>
      <top/>
      <bottom/>
      <diagonal/>
    </border>
    <border>
      <left style="medium">
        <color theme="2" tint="-0.749992370372631"/>
      </left>
      <right/>
      <top/>
      <bottom style="medium">
        <color theme="2" tint="-0.749992370372631"/>
      </bottom>
      <diagonal/>
    </border>
    <border>
      <left/>
      <right/>
      <top/>
      <bottom style="medium">
        <color theme="2" tint="-0.749992370372631"/>
      </bottom>
      <diagonal/>
    </border>
    <border>
      <left/>
      <right style="medium">
        <color theme="2" tint="-0.749992370372631"/>
      </right>
      <top/>
      <bottom style="medium">
        <color theme="2" tint="-0.749992370372631"/>
      </bottom>
      <diagonal/>
    </border>
    <border>
      <left/>
      <right style="dashed">
        <color theme="2" tint="-0.749992370372631"/>
      </right>
      <top/>
      <bottom style="medium">
        <color theme="2" tint="-0.749992370372631"/>
      </bottom>
      <diagonal/>
    </border>
    <border>
      <left style="dashed">
        <color theme="2" tint="-0.749992370372631"/>
      </left>
      <right style="dashed">
        <color theme="2" tint="-0.749992370372631"/>
      </right>
      <top/>
      <bottom style="medium">
        <color theme="2" tint="-0.749992370372631"/>
      </bottom>
      <diagonal/>
    </border>
    <border>
      <left style="dashed">
        <color theme="2" tint="-0.749992370372631"/>
      </left>
      <right/>
      <top/>
      <bottom/>
      <diagonal/>
    </border>
    <border>
      <left style="dashed">
        <color theme="2" tint="-0.749992370372631"/>
      </left>
      <right/>
      <top/>
      <bottom style="medium">
        <color theme="2" tint="-0.749992370372631"/>
      </bottom>
      <diagonal/>
    </border>
    <border>
      <left style="medium">
        <color theme="2" tint="-0.749992370372631"/>
      </left>
      <right style="medium">
        <color theme="2" tint="-0.749992370372631"/>
      </right>
      <top/>
      <bottom/>
      <diagonal/>
    </border>
    <border>
      <left style="medium">
        <color theme="2" tint="-0.749992370372631"/>
      </left>
      <right style="dashed">
        <color theme="2" tint="-0.749992370372631"/>
      </right>
      <top/>
      <bottom style="medium">
        <color theme="2" tint="-0.749992370372631"/>
      </bottom>
      <diagonal/>
    </border>
    <border>
      <left style="medium">
        <color theme="2" tint="-0.749992370372631"/>
      </left>
      <right style="dashed">
        <color theme="2" tint="-0.749992370372631"/>
      </right>
      <top/>
      <bottom/>
      <diagonal/>
    </border>
    <border>
      <left style="medium">
        <color theme="2" tint="-0.749992370372631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theme="2" tint="-0.749992370372631"/>
      </left>
      <right style="dashed">
        <color theme="2" tint="-0.749992370372631"/>
      </right>
      <top/>
      <bottom style="medium">
        <color indexed="64"/>
      </bottom>
      <diagonal/>
    </border>
    <border>
      <left style="dashed">
        <color theme="2" tint="-0.749992370372631"/>
      </left>
      <right style="dashed">
        <color theme="2" tint="-0.749992370372631"/>
      </right>
      <top/>
      <bottom style="medium">
        <color indexed="64"/>
      </bottom>
      <diagonal/>
    </border>
    <border>
      <left/>
      <right style="medium">
        <color theme="2" tint="-0.74999237037263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2" tint="-0.74999237037263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2" tint="-0.749992370372631"/>
      </right>
      <top style="medium">
        <color indexed="64"/>
      </top>
      <bottom style="medium">
        <color indexed="64"/>
      </bottom>
      <diagonal/>
    </border>
    <border>
      <left style="medium">
        <color theme="2" tint="-0.749992370372631"/>
      </left>
      <right style="dashed">
        <color theme="2" tint="-0.749992370372631"/>
      </right>
      <top style="medium">
        <color indexed="64"/>
      </top>
      <bottom style="medium">
        <color indexed="64"/>
      </bottom>
      <diagonal/>
    </border>
    <border>
      <left style="dashed">
        <color theme="2" tint="-0.749992370372631"/>
      </left>
      <right style="dashed">
        <color theme="2" tint="-0.749992370372631"/>
      </right>
      <top style="medium">
        <color indexed="64"/>
      </top>
      <bottom style="medium">
        <color indexed="64"/>
      </bottom>
      <diagonal/>
    </border>
    <border>
      <left style="medium">
        <color theme="2" tint="-0.74999237037263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ashed">
        <color theme="2" tint="-0.749992370372631"/>
      </right>
      <top style="medium">
        <color indexed="64"/>
      </top>
      <bottom style="medium">
        <color indexed="64"/>
      </bottom>
      <diagonal/>
    </border>
    <border>
      <left/>
      <right style="thin">
        <color rgb="FF575757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910">
    <xf numFmtId="0" fontId="0" fillId="0" borderId="0" xfId="0">
      <alignment vertical="center"/>
    </xf>
    <xf numFmtId="0" fontId="9" fillId="0" borderId="9" xfId="0" applyFont="1" applyBorder="1" applyAlignment="1">
      <alignment horizontal="center" vertical="center" wrapText="1" readingOrder="1"/>
    </xf>
    <xf numFmtId="0" fontId="10" fillId="0" borderId="9" xfId="0" applyFont="1" applyBorder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 wrapText="1" readingOrder="1"/>
    </xf>
    <xf numFmtId="0" fontId="2" fillId="0" borderId="0" xfId="0" applyFont="1">
      <alignment vertical="center"/>
    </xf>
    <xf numFmtId="41" fontId="2" fillId="0" borderId="0" xfId="2" applyFont="1" applyFill="1" applyBorder="1" applyAlignment="1">
      <alignment horizontal="right" vertical="center"/>
    </xf>
    <xf numFmtId="0" fontId="4" fillId="0" borderId="0" xfId="0" applyFont="1">
      <alignment vertical="center"/>
    </xf>
    <xf numFmtId="41" fontId="4" fillId="0" borderId="0" xfId="2" applyFont="1" applyFill="1" applyBorder="1" applyAlignment="1">
      <alignment horizontal="right" vertical="center"/>
    </xf>
    <xf numFmtId="178" fontId="4" fillId="0" borderId="0" xfId="2" applyNumberFormat="1" applyFont="1" applyFill="1" applyBorder="1" applyAlignment="1">
      <alignment horizontal="right" vertical="center"/>
    </xf>
    <xf numFmtId="0" fontId="14" fillId="8" borderId="62" xfId="0" applyFont="1" applyFill="1" applyBorder="1" applyAlignment="1">
      <alignment horizontal="center" vertical="center"/>
    </xf>
    <xf numFmtId="9" fontId="13" fillId="0" borderId="0" xfId="1" applyFont="1" applyFill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9" fontId="13" fillId="0" borderId="0" xfId="1" applyFont="1" applyFill="1" applyBorder="1" applyAlignment="1">
      <alignment horizontal="right" vertical="center"/>
    </xf>
    <xf numFmtId="0" fontId="7" fillId="10" borderId="8" xfId="0" applyFont="1" applyFill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7" fillId="0" borderId="0" xfId="0" applyFont="1">
      <alignment vertical="center"/>
    </xf>
    <xf numFmtId="0" fontId="11" fillId="11" borderId="12" xfId="0" applyFont="1" applyFill="1" applyBorder="1" applyAlignment="1">
      <alignment horizontal="center" vertical="center" wrapText="1" readingOrder="1"/>
    </xf>
    <xf numFmtId="0" fontId="9" fillId="11" borderId="10" xfId="0" applyFont="1" applyFill="1" applyBorder="1" applyAlignment="1">
      <alignment horizontal="center" vertical="center" wrapText="1" readingOrder="1"/>
    </xf>
    <xf numFmtId="0" fontId="10" fillId="7" borderId="9" xfId="0" applyFont="1" applyFill="1" applyBorder="1" applyAlignment="1">
      <alignment horizontal="center" vertical="center" wrapText="1" readingOrder="1"/>
    </xf>
    <xf numFmtId="0" fontId="9" fillId="7" borderId="9" xfId="0" applyFont="1" applyFill="1" applyBorder="1" applyAlignment="1">
      <alignment horizontal="center" vertical="center" wrapText="1" readingOrder="1"/>
    </xf>
    <xf numFmtId="0" fontId="20" fillId="0" borderId="0" xfId="0" applyFont="1">
      <alignment vertical="center"/>
    </xf>
    <xf numFmtId="178" fontId="13" fillId="0" borderId="0" xfId="1" applyNumberFormat="1" applyFont="1" applyFill="1" applyBorder="1">
      <alignment vertical="center"/>
    </xf>
    <xf numFmtId="0" fontId="14" fillId="8" borderId="52" xfId="0" applyFont="1" applyFill="1" applyBorder="1" applyAlignment="1">
      <alignment horizontal="left" vertical="center"/>
    </xf>
    <xf numFmtId="0" fontId="14" fillId="8" borderId="52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left" vertical="center"/>
    </xf>
    <xf numFmtId="0" fontId="20" fillId="9" borderId="4" xfId="0" applyFont="1" applyFill="1" applyBorder="1">
      <alignment vertical="center"/>
    </xf>
    <xf numFmtId="41" fontId="20" fillId="9" borderId="0" xfId="2" applyFont="1" applyFill="1" applyBorder="1">
      <alignment vertical="center"/>
    </xf>
    <xf numFmtId="0" fontId="20" fillId="7" borderId="3" xfId="0" applyFont="1" applyFill="1" applyBorder="1" applyAlignment="1">
      <alignment horizontal="left" vertical="center"/>
    </xf>
    <xf numFmtId="0" fontId="20" fillId="7" borderId="4" xfId="0" applyFont="1" applyFill="1" applyBorder="1">
      <alignment vertical="center"/>
    </xf>
    <xf numFmtId="41" fontId="20" fillId="7" borderId="0" xfId="2" applyFont="1" applyFill="1" applyBorder="1">
      <alignment vertical="center"/>
    </xf>
    <xf numFmtId="0" fontId="20" fillId="7" borderId="0" xfId="0" applyFont="1" applyFill="1">
      <alignment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>
      <alignment vertical="center"/>
    </xf>
    <xf numFmtId="41" fontId="13" fillId="0" borderId="0" xfId="2" applyFont="1" applyFill="1" applyBorder="1">
      <alignment vertical="center"/>
    </xf>
    <xf numFmtId="0" fontId="20" fillId="9" borderId="6" xfId="0" applyFont="1" applyFill="1" applyBorder="1" applyAlignment="1">
      <alignment horizontal="left" vertical="center"/>
    </xf>
    <xf numFmtId="0" fontId="20" fillId="9" borderId="7" xfId="0" applyFont="1" applyFill="1" applyBorder="1">
      <alignment vertical="center"/>
    </xf>
    <xf numFmtId="0" fontId="13" fillId="0" borderId="0" xfId="0" applyFont="1" applyAlignment="1">
      <alignment horizontal="left" vertical="center"/>
    </xf>
    <xf numFmtId="178" fontId="13" fillId="0" borderId="0" xfId="0" applyNumberFormat="1" applyFont="1">
      <alignment vertical="center"/>
    </xf>
    <xf numFmtId="178" fontId="13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4" fillId="8" borderId="83" xfId="0" applyFont="1" applyFill="1" applyBorder="1" applyAlignment="1">
      <alignment horizontal="center" vertical="center"/>
    </xf>
    <xf numFmtId="176" fontId="20" fillId="2" borderId="53" xfId="2" applyNumberFormat="1" applyFont="1" applyFill="1" applyBorder="1" applyAlignment="1">
      <alignment horizontal="center" vertical="center"/>
    </xf>
    <xf numFmtId="176" fontId="20" fillId="2" borderId="84" xfId="2" applyNumberFormat="1" applyFont="1" applyFill="1" applyBorder="1" applyAlignment="1">
      <alignment horizontal="center" vertical="center"/>
    </xf>
    <xf numFmtId="176" fontId="21" fillId="0" borderId="0" xfId="2" applyNumberFormat="1" applyFont="1" applyFill="1" applyBorder="1">
      <alignment vertical="center"/>
    </xf>
    <xf numFmtId="176" fontId="20" fillId="0" borderId="0" xfId="2" applyNumberFormat="1" applyFont="1" applyFill="1" applyBorder="1">
      <alignment vertical="center"/>
    </xf>
    <xf numFmtId="181" fontId="22" fillId="0" borderId="0" xfId="1" applyNumberFormat="1" applyFont="1" applyFill="1" applyBorder="1">
      <alignment vertical="center"/>
    </xf>
    <xf numFmtId="9" fontId="23" fillId="0" borderId="0" xfId="1" applyFont="1" applyFill="1" applyBorder="1" applyAlignment="1">
      <alignment horizontal="right" vertical="center"/>
    </xf>
    <xf numFmtId="176" fontId="22" fillId="0" borderId="53" xfId="2" applyNumberFormat="1" applyFont="1" applyFill="1" applyBorder="1" applyAlignment="1">
      <alignment horizontal="center" vertical="center"/>
    </xf>
    <xf numFmtId="176" fontId="22" fillId="0" borderId="84" xfId="2" applyNumberFormat="1" applyFont="1" applyFill="1" applyBorder="1" applyAlignment="1">
      <alignment horizontal="center" vertical="center"/>
    </xf>
    <xf numFmtId="9" fontId="22" fillId="0" borderId="0" xfId="1" applyFont="1" applyFill="1" applyBorder="1" applyAlignment="1">
      <alignment horizontal="right" vertical="center"/>
    </xf>
    <xf numFmtId="176" fontId="22" fillId="0" borderId="0" xfId="2" applyNumberFormat="1" applyFont="1" applyFill="1" applyBorder="1" applyAlignment="1">
      <alignment horizontal="right" vertical="center"/>
    </xf>
    <xf numFmtId="181" fontId="21" fillId="0" borderId="0" xfId="1" applyNumberFormat="1" applyFont="1" applyFill="1" applyBorder="1">
      <alignment vertical="center"/>
    </xf>
    <xf numFmtId="176" fontId="22" fillId="0" borderId="0" xfId="2" applyNumberFormat="1" applyFont="1" applyFill="1" applyBorder="1">
      <alignment vertical="center"/>
    </xf>
    <xf numFmtId="176" fontId="24" fillId="0" borderId="53" xfId="2" applyNumberFormat="1" applyFont="1" applyFill="1" applyBorder="1" applyAlignment="1">
      <alignment horizontal="center" vertical="center"/>
    </xf>
    <xf numFmtId="176" fontId="24" fillId="0" borderId="84" xfId="2" applyNumberFormat="1" applyFont="1" applyFill="1" applyBorder="1" applyAlignment="1">
      <alignment horizontal="center" vertical="center"/>
    </xf>
    <xf numFmtId="0" fontId="20" fillId="2" borderId="53" xfId="0" applyFont="1" applyFill="1" applyBorder="1" applyAlignment="1">
      <alignment horizontal="center" vertical="center"/>
    </xf>
    <xf numFmtId="0" fontId="20" fillId="2" borderId="84" xfId="0" applyFont="1" applyFill="1" applyBorder="1" applyAlignment="1">
      <alignment horizontal="center" vertical="center"/>
    </xf>
    <xf numFmtId="176" fontId="21" fillId="0" borderId="0" xfId="2" applyNumberFormat="1" applyFont="1" applyFill="1" applyBorder="1" applyAlignment="1">
      <alignment horizontal="right" vertical="center"/>
    </xf>
    <xf numFmtId="176" fontId="20" fillId="0" borderId="0" xfId="2" applyNumberFormat="1" applyFont="1" applyFill="1" applyBorder="1" applyAlignment="1">
      <alignment horizontal="right" vertical="center"/>
    </xf>
    <xf numFmtId="181" fontId="21" fillId="0" borderId="0" xfId="2" applyNumberFormat="1" applyFont="1" applyFill="1" applyBorder="1" applyAlignment="1">
      <alignment horizontal="right" vertical="center"/>
    </xf>
    <xf numFmtId="181" fontId="20" fillId="0" borderId="0" xfId="2" applyNumberFormat="1" applyFont="1" applyFill="1" applyBorder="1" applyAlignment="1">
      <alignment horizontal="right" vertical="center"/>
    </xf>
    <xf numFmtId="181" fontId="23" fillId="0" borderId="0" xfId="1" applyNumberFormat="1" applyFont="1" applyFill="1" applyBorder="1" applyAlignment="1">
      <alignment horizontal="right" vertical="center"/>
    </xf>
    <xf numFmtId="181" fontId="20" fillId="0" borderId="0" xfId="0" applyNumberFormat="1" applyFont="1">
      <alignment vertical="center"/>
    </xf>
    <xf numFmtId="9" fontId="22" fillId="0" borderId="53" xfId="1" applyFont="1" applyFill="1" applyBorder="1" applyAlignment="1">
      <alignment horizontal="center" vertical="center"/>
    </xf>
    <xf numFmtId="9" fontId="22" fillId="0" borderId="84" xfId="1" applyFont="1" applyFill="1" applyBorder="1" applyAlignment="1">
      <alignment horizontal="center" vertical="center"/>
    </xf>
    <xf numFmtId="9" fontId="22" fillId="0" borderId="0" xfId="1" applyFont="1" applyFill="1" applyBorder="1">
      <alignment vertical="center"/>
    </xf>
    <xf numFmtId="176" fontId="13" fillId="0" borderId="53" xfId="2" applyNumberFormat="1" applyFont="1" applyFill="1" applyBorder="1" applyAlignment="1">
      <alignment horizontal="center" vertical="center"/>
    </xf>
    <xf numFmtId="176" fontId="13" fillId="0" borderId="84" xfId="2" applyNumberFormat="1" applyFont="1" applyFill="1" applyBorder="1" applyAlignment="1">
      <alignment horizontal="center" vertical="center"/>
    </xf>
    <xf numFmtId="176" fontId="13" fillId="0" borderId="0" xfId="2" applyNumberFormat="1" applyFont="1" applyFill="1" applyBorder="1">
      <alignment vertical="center"/>
    </xf>
    <xf numFmtId="176" fontId="13" fillId="0" borderId="0" xfId="2" applyNumberFormat="1" applyFont="1" applyFill="1" applyBorder="1" applyAlignment="1">
      <alignment horizontal="center" vertical="center"/>
    </xf>
    <xf numFmtId="0" fontId="20" fillId="0" borderId="73" xfId="0" applyFont="1" applyBorder="1" applyAlignment="1">
      <alignment horizontal="center" vertical="center" wrapText="1"/>
    </xf>
    <xf numFmtId="0" fontId="20" fillId="0" borderId="84" xfId="0" applyFont="1" applyBorder="1" applyAlignment="1">
      <alignment horizontal="center" vertical="center" wrapText="1"/>
    </xf>
    <xf numFmtId="180" fontId="20" fillId="0" borderId="75" xfId="0" applyNumberFormat="1" applyFont="1" applyBorder="1" applyAlignment="1">
      <alignment horizontal="right" vertical="center" wrapText="1"/>
    </xf>
    <xf numFmtId="180" fontId="20" fillId="0" borderId="56" xfId="0" applyNumberFormat="1" applyFont="1" applyBorder="1" applyAlignment="1">
      <alignment horizontal="right" vertical="center" wrapText="1"/>
    </xf>
    <xf numFmtId="180" fontId="20" fillId="0" borderId="65" xfId="0" applyNumberFormat="1" applyFont="1" applyBorder="1" applyAlignment="1">
      <alignment horizontal="right" vertical="center" wrapText="1"/>
    </xf>
    <xf numFmtId="180" fontId="20" fillId="0" borderId="64" xfId="0" applyNumberFormat="1" applyFont="1" applyBorder="1" applyAlignment="1">
      <alignment horizontal="right" vertical="center" wrapText="1"/>
    </xf>
    <xf numFmtId="180" fontId="20" fillId="0" borderId="0" xfId="0" applyNumberFormat="1" applyFont="1" applyAlignment="1">
      <alignment horizontal="right" vertical="center" wrapText="1"/>
    </xf>
    <xf numFmtId="0" fontId="27" fillId="2" borderId="73" xfId="0" applyFont="1" applyFill="1" applyBorder="1" applyAlignment="1">
      <alignment horizontal="center" vertical="center"/>
    </xf>
    <xf numFmtId="0" fontId="27" fillId="2" borderId="84" xfId="0" applyFont="1" applyFill="1" applyBorder="1" applyAlignment="1">
      <alignment horizontal="center" vertical="center"/>
    </xf>
    <xf numFmtId="177" fontId="22" fillId="0" borderId="0" xfId="0" applyNumberFormat="1" applyFont="1">
      <alignment vertical="center"/>
    </xf>
    <xf numFmtId="177" fontId="27" fillId="0" borderId="0" xfId="0" applyNumberFormat="1" applyFont="1">
      <alignment vertical="center"/>
    </xf>
    <xf numFmtId="9" fontId="27" fillId="0" borderId="0" xfId="1" applyFont="1" applyFill="1" applyBorder="1">
      <alignment vertical="center"/>
    </xf>
    <xf numFmtId="9" fontId="19" fillId="0" borderId="0" xfId="1" applyFont="1" applyFill="1" applyBorder="1" applyAlignment="1">
      <alignment horizontal="right" vertical="center"/>
    </xf>
    <xf numFmtId="0" fontId="27" fillId="0" borderId="0" xfId="0" applyFont="1">
      <alignment vertical="center"/>
    </xf>
    <xf numFmtId="176" fontId="20" fillId="12" borderId="73" xfId="2" applyNumberFormat="1" applyFont="1" applyFill="1" applyBorder="1" applyAlignment="1">
      <alignment horizontal="center" vertical="center"/>
    </xf>
    <xf numFmtId="176" fontId="20" fillId="12" borderId="84" xfId="2" applyNumberFormat="1" applyFont="1" applyFill="1" applyBorder="1" applyAlignment="1">
      <alignment horizontal="center" vertical="center"/>
    </xf>
    <xf numFmtId="177" fontId="13" fillId="0" borderId="0" xfId="0" applyNumberFormat="1" applyFont="1">
      <alignment vertical="center"/>
    </xf>
    <xf numFmtId="181" fontId="13" fillId="0" borderId="0" xfId="1" applyNumberFormat="1" applyFont="1" applyFill="1" applyBorder="1">
      <alignment vertical="center"/>
    </xf>
    <xf numFmtId="0" fontId="22" fillId="0" borderId="0" xfId="0" applyFont="1" applyAlignment="1">
      <alignment horizontal="center" vertical="center"/>
    </xf>
    <xf numFmtId="9" fontId="22" fillId="0" borderId="0" xfId="1" applyFont="1" applyFill="1" applyBorder="1" applyAlignment="1">
      <alignment horizontal="left" vertical="center"/>
    </xf>
    <xf numFmtId="181" fontId="20" fillId="0" borderId="75" xfId="1" applyNumberFormat="1" applyFont="1" applyFill="1" applyBorder="1" applyAlignment="1">
      <alignment horizontal="right" vertical="center" wrapText="1"/>
    </xf>
    <xf numFmtId="181" fontId="20" fillId="0" borderId="56" xfId="1" applyNumberFormat="1" applyFont="1" applyFill="1" applyBorder="1" applyAlignment="1">
      <alignment horizontal="right" vertical="center" wrapText="1"/>
    </xf>
    <xf numFmtId="181" fontId="20" fillId="0" borderId="65" xfId="1" applyNumberFormat="1" applyFont="1" applyFill="1" applyBorder="1" applyAlignment="1">
      <alignment horizontal="right" vertical="center" wrapText="1"/>
    </xf>
    <xf numFmtId="181" fontId="20" fillId="0" borderId="64" xfId="1" applyNumberFormat="1" applyFont="1" applyFill="1" applyBorder="1" applyAlignment="1">
      <alignment horizontal="right" vertical="center" wrapText="1"/>
    </xf>
    <xf numFmtId="181" fontId="20" fillId="0" borderId="0" xfId="1" applyNumberFormat="1" applyFont="1" applyFill="1" applyBorder="1" applyAlignment="1">
      <alignment horizontal="right" vertical="center" wrapText="1"/>
    </xf>
    <xf numFmtId="0" fontId="27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3" fillId="0" borderId="0" xfId="0" applyFont="1" applyAlignment="1">
      <alignment horizontal="center" vertical="center"/>
    </xf>
    <xf numFmtId="178" fontId="4" fillId="0" borderId="0" xfId="2" applyNumberFormat="1" applyFont="1" applyBorder="1">
      <alignment vertical="center"/>
    </xf>
    <xf numFmtId="0" fontId="12" fillId="8" borderId="5" xfId="0" applyFont="1" applyFill="1" applyBorder="1" applyAlignment="1">
      <alignment horizontal="left" vertical="center"/>
    </xf>
    <xf numFmtId="0" fontId="12" fillId="8" borderId="55" xfId="0" applyFont="1" applyFill="1" applyBorder="1" applyAlignment="1">
      <alignment horizontal="left" vertical="center"/>
    </xf>
    <xf numFmtId="0" fontId="2" fillId="3" borderId="3" xfId="0" applyFont="1" applyFill="1" applyBorder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9" borderId="3" xfId="0" applyFont="1" applyFill="1" applyBorder="1">
      <alignment vertical="center"/>
    </xf>
    <xf numFmtId="0" fontId="6" fillId="9" borderId="4" xfId="0" applyFont="1" applyFill="1" applyBorder="1">
      <alignment vertical="center"/>
    </xf>
    <xf numFmtId="180" fontId="13" fillId="0" borderId="0" xfId="0" applyNumberFormat="1" applyFont="1">
      <alignment vertical="center"/>
    </xf>
    <xf numFmtId="180" fontId="21" fillId="0" borderId="0" xfId="0" applyNumberFormat="1" applyFont="1">
      <alignment vertical="center"/>
    </xf>
    <xf numFmtId="180" fontId="20" fillId="0" borderId="0" xfId="2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81" fontId="24" fillId="0" borderId="0" xfId="1" applyNumberFormat="1" applyFont="1" applyFill="1" applyBorder="1" applyAlignment="1">
      <alignment horizontal="center" vertical="center"/>
    </xf>
    <xf numFmtId="180" fontId="20" fillId="0" borderId="0" xfId="0" applyNumberFormat="1" applyFont="1" applyAlignment="1">
      <alignment horizontal="center" vertical="center"/>
    </xf>
    <xf numFmtId="181" fontId="25" fillId="0" borderId="0" xfId="1" applyNumberFormat="1" applyFont="1" applyFill="1" applyBorder="1" applyAlignment="1">
      <alignment horizontal="right" vertical="center"/>
    </xf>
    <xf numFmtId="181" fontId="25" fillId="0" borderId="0" xfId="1" applyNumberFormat="1" applyFont="1" applyFill="1" applyBorder="1" applyAlignment="1">
      <alignment horizontal="center" vertical="center"/>
    </xf>
    <xf numFmtId="180" fontId="22" fillId="0" borderId="0" xfId="1" applyNumberFormat="1" applyFont="1" applyFill="1" applyBorder="1" applyAlignment="1">
      <alignment horizontal="center" vertical="center"/>
    </xf>
    <xf numFmtId="180" fontId="13" fillId="0" borderId="0" xfId="2" applyNumberFormat="1" applyFont="1" applyFill="1" applyBorder="1" applyAlignment="1">
      <alignment horizontal="center" vertical="center"/>
    </xf>
    <xf numFmtId="180" fontId="20" fillId="0" borderId="0" xfId="0" applyNumberFormat="1" applyFont="1" applyAlignment="1">
      <alignment horizontal="left" vertical="center"/>
    </xf>
    <xf numFmtId="180" fontId="20" fillId="0" borderId="89" xfId="0" applyNumberFormat="1" applyFont="1" applyBorder="1" applyAlignment="1">
      <alignment horizontal="right" vertical="center" wrapText="1"/>
    </xf>
    <xf numFmtId="180" fontId="20" fillId="0" borderId="0" xfId="0" applyNumberFormat="1" applyFont="1" applyAlignment="1">
      <alignment horizontal="center" vertical="center" wrapText="1"/>
    </xf>
    <xf numFmtId="180" fontId="27" fillId="0" borderId="0" xfId="0" applyNumberFormat="1" applyFont="1" applyAlignment="1">
      <alignment horizontal="center" vertical="center"/>
    </xf>
    <xf numFmtId="180" fontId="22" fillId="0" borderId="0" xfId="0" applyNumberFormat="1" applyFont="1" applyAlignment="1">
      <alignment horizontal="center" vertical="center"/>
    </xf>
    <xf numFmtId="180" fontId="13" fillId="0" borderId="0" xfId="0" applyNumberFormat="1" applyFont="1" applyAlignment="1">
      <alignment horizontal="left" vertical="center"/>
    </xf>
    <xf numFmtId="181" fontId="20" fillId="0" borderId="89" xfId="1" applyNumberFormat="1" applyFont="1" applyFill="1" applyBorder="1" applyAlignment="1">
      <alignment horizontal="right" vertical="center" wrapText="1"/>
    </xf>
    <xf numFmtId="181" fontId="20" fillId="0" borderId="0" xfId="1" applyNumberFormat="1" applyFont="1" applyFill="1" applyBorder="1" applyAlignment="1">
      <alignment horizontal="center" vertical="center" wrapText="1"/>
    </xf>
    <xf numFmtId="181" fontId="27" fillId="0" borderId="0" xfId="1" applyNumberFormat="1" applyFont="1" applyFill="1" applyBorder="1" applyAlignment="1">
      <alignment horizontal="center" vertical="center"/>
    </xf>
    <xf numFmtId="41" fontId="20" fillId="0" borderId="0" xfId="2" applyFont="1" applyFill="1" applyBorder="1" applyAlignment="1">
      <alignment horizontal="right" vertical="center"/>
    </xf>
    <xf numFmtId="41" fontId="13" fillId="0" borderId="0" xfId="2" applyFont="1" applyFill="1" applyBorder="1" applyAlignment="1">
      <alignment horizontal="right" vertical="center"/>
    </xf>
    <xf numFmtId="41" fontId="22" fillId="0" borderId="0" xfId="2" applyFont="1" applyFill="1" applyBorder="1" applyAlignment="1">
      <alignment horizontal="right" vertical="center"/>
    </xf>
    <xf numFmtId="178" fontId="13" fillId="0" borderId="0" xfId="2" applyNumberFormat="1" applyFont="1" applyFill="1" applyBorder="1" applyAlignment="1">
      <alignment horizontal="right" vertical="center"/>
    </xf>
    <xf numFmtId="179" fontId="13" fillId="0" borderId="0" xfId="0" applyNumberFormat="1" applyFont="1">
      <alignment vertical="center"/>
    </xf>
    <xf numFmtId="0" fontId="20" fillId="8" borderId="0" xfId="0" applyFont="1" applyFill="1">
      <alignment vertical="center"/>
    </xf>
    <xf numFmtId="179" fontId="29" fillId="0" borderId="0" xfId="0" applyNumberFormat="1" applyFont="1">
      <alignment vertical="center"/>
    </xf>
    <xf numFmtId="0" fontId="30" fillId="0" borderId="0" xfId="0" applyFont="1">
      <alignment vertical="center"/>
    </xf>
    <xf numFmtId="0" fontId="15" fillId="13" borderId="8" xfId="0" applyFont="1" applyFill="1" applyBorder="1" applyAlignment="1">
      <alignment horizontal="center" vertical="center" readingOrder="1"/>
    </xf>
    <xf numFmtId="9" fontId="13" fillId="0" borderId="0" xfId="1" applyFont="1">
      <alignment vertical="center"/>
    </xf>
    <xf numFmtId="9" fontId="27" fillId="0" borderId="92" xfId="1" applyFont="1" applyBorder="1" applyAlignment="1">
      <alignment horizontal="center" vertical="center"/>
    </xf>
    <xf numFmtId="9" fontId="27" fillId="0" borderId="95" xfId="1" applyFont="1" applyBorder="1" applyAlignment="1">
      <alignment horizontal="center" vertical="center"/>
    </xf>
    <xf numFmtId="41" fontId="13" fillId="0" borderId="0" xfId="2" applyFont="1" applyFill="1" applyBorder="1" applyAlignment="1">
      <alignment vertical="center" wrapText="1"/>
    </xf>
    <xf numFmtId="41" fontId="20" fillId="7" borderId="0" xfId="2" applyFont="1" applyFill="1" applyBorder="1" applyAlignment="1">
      <alignment vertical="center" wrapText="1"/>
    </xf>
    <xf numFmtId="9" fontId="5" fillId="0" borderId="0" xfId="1" applyFont="1" applyFill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181" fontId="20" fillId="12" borderId="73" xfId="1" applyNumberFormat="1" applyFont="1" applyFill="1" applyBorder="1" applyAlignment="1">
      <alignment horizontal="center" vertical="center"/>
    </xf>
    <xf numFmtId="181" fontId="20" fillId="12" borderId="84" xfId="1" applyNumberFormat="1" applyFont="1" applyFill="1" applyBorder="1" applyAlignment="1">
      <alignment horizontal="center" vertical="center"/>
    </xf>
    <xf numFmtId="181" fontId="20" fillId="0" borderId="0" xfId="1" applyNumberFormat="1" applyFont="1" applyFill="1" applyBorder="1">
      <alignment vertical="center"/>
    </xf>
    <xf numFmtId="184" fontId="17" fillId="0" borderId="0" xfId="0" applyNumberFormat="1" applyFont="1">
      <alignment vertical="center"/>
    </xf>
    <xf numFmtId="9" fontId="17" fillId="0" borderId="0" xfId="1" applyFont="1">
      <alignment vertical="center"/>
    </xf>
    <xf numFmtId="0" fontId="32" fillId="0" borderId="0" xfId="0" applyFont="1">
      <alignment vertical="center"/>
    </xf>
    <xf numFmtId="0" fontId="12" fillId="0" borderId="0" xfId="0" applyFont="1">
      <alignment vertical="center"/>
    </xf>
    <xf numFmtId="176" fontId="32" fillId="0" borderId="0" xfId="2" applyNumberFormat="1" applyFont="1" applyFill="1" applyBorder="1">
      <alignment vertical="center"/>
    </xf>
    <xf numFmtId="0" fontId="12" fillId="0" borderId="0" xfId="0" applyFont="1" applyAlignment="1">
      <alignment horizontal="center" vertical="center"/>
    </xf>
    <xf numFmtId="0" fontId="32" fillId="2" borderId="0" xfId="0" applyFont="1" applyFill="1">
      <alignment vertical="center"/>
    </xf>
    <xf numFmtId="181" fontId="12" fillId="0" borderId="0" xfId="1" applyNumberFormat="1" applyFont="1" applyFill="1" applyBorder="1">
      <alignment vertical="center"/>
    </xf>
    <xf numFmtId="9" fontId="32" fillId="0" borderId="0" xfId="1" applyFont="1">
      <alignment vertical="center"/>
    </xf>
    <xf numFmtId="0" fontId="33" fillId="0" borderId="0" xfId="0" applyFont="1">
      <alignment vertical="center"/>
    </xf>
    <xf numFmtId="0" fontId="34" fillId="10" borderId="8" xfId="0" applyFont="1" applyFill="1" applyBorder="1" applyAlignment="1">
      <alignment horizontal="center" vertical="center" wrapText="1" readingOrder="1"/>
    </xf>
    <xf numFmtId="0" fontId="35" fillId="5" borderId="16" xfId="0" applyFont="1" applyFill="1" applyBorder="1" applyAlignment="1">
      <alignment horizontal="left" vertical="center" readingOrder="1"/>
    </xf>
    <xf numFmtId="0" fontId="18" fillId="5" borderId="17" xfId="0" applyFont="1" applyFill="1" applyBorder="1">
      <alignment vertical="center"/>
    </xf>
    <xf numFmtId="0" fontId="18" fillId="5" borderId="18" xfId="0" applyFont="1" applyFill="1" applyBorder="1">
      <alignment vertical="center"/>
    </xf>
    <xf numFmtId="0" fontId="10" fillId="0" borderId="24" xfId="0" applyFont="1" applyBorder="1" applyAlignment="1">
      <alignment horizontal="left" vertical="center" readingOrder="1"/>
    </xf>
    <xf numFmtId="0" fontId="10" fillId="0" borderId="25" xfId="0" applyFont="1" applyBorder="1" applyAlignment="1">
      <alignment horizontal="left" vertical="center" readingOrder="1"/>
    </xf>
    <xf numFmtId="0" fontId="18" fillId="0" borderId="22" xfId="0" applyFont="1" applyBorder="1">
      <alignment vertical="center"/>
    </xf>
    <xf numFmtId="0" fontId="36" fillId="0" borderId="27" xfId="0" applyFont="1" applyBorder="1">
      <alignment vertical="center"/>
    </xf>
    <xf numFmtId="0" fontId="37" fillId="0" borderId="28" xfId="0" applyFont="1" applyBorder="1" applyAlignment="1">
      <alignment horizontal="left" vertical="center" readingOrder="1"/>
    </xf>
    <xf numFmtId="0" fontId="36" fillId="0" borderId="30" xfId="0" applyFont="1" applyBorder="1">
      <alignment vertical="center"/>
    </xf>
    <xf numFmtId="0" fontId="37" fillId="0" borderId="31" xfId="0" applyFont="1" applyBorder="1" applyAlignment="1">
      <alignment horizontal="left" vertical="center" readingOrder="1"/>
    </xf>
    <xf numFmtId="0" fontId="18" fillId="0" borderId="23" xfId="0" applyFont="1" applyBorder="1">
      <alignment vertical="center"/>
    </xf>
    <xf numFmtId="0" fontId="37" fillId="0" borderId="33" xfId="0" applyFont="1" applyBorder="1" applyAlignment="1">
      <alignment horizontal="left" vertical="center" readingOrder="1"/>
    </xf>
    <xf numFmtId="0" fontId="18" fillId="0" borderId="16" xfId="0" applyFont="1" applyBorder="1">
      <alignment vertical="center"/>
    </xf>
    <xf numFmtId="0" fontId="37" fillId="0" borderId="101" xfId="0" applyFont="1" applyBorder="1" applyAlignment="1">
      <alignment horizontal="left" vertical="center" readingOrder="1"/>
    </xf>
    <xf numFmtId="0" fontId="38" fillId="4" borderId="36" xfId="0" applyFont="1" applyFill="1" applyBorder="1" applyAlignment="1">
      <alignment horizontal="left" vertical="center" readingOrder="1"/>
    </xf>
    <xf numFmtId="0" fontId="35" fillId="5" borderId="45" xfId="0" applyFont="1" applyFill="1" applyBorder="1" applyAlignment="1">
      <alignment horizontal="left" vertical="center" readingOrder="1"/>
    </xf>
    <xf numFmtId="0" fontId="35" fillId="5" borderId="46" xfId="0" applyFont="1" applyFill="1" applyBorder="1" applyAlignment="1">
      <alignment horizontal="left" vertical="center" readingOrder="1"/>
    </xf>
    <xf numFmtId="0" fontId="18" fillId="5" borderId="39" xfId="0" applyFont="1" applyFill="1" applyBorder="1">
      <alignment vertical="center"/>
    </xf>
    <xf numFmtId="0" fontId="18" fillId="0" borderId="20" xfId="0" applyFont="1" applyBorder="1">
      <alignment vertical="center"/>
    </xf>
    <xf numFmtId="0" fontId="38" fillId="4" borderId="37" xfId="0" applyFont="1" applyFill="1" applyBorder="1" applyAlignment="1">
      <alignment horizontal="left" vertical="center" readingOrder="1"/>
    </xf>
    <xf numFmtId="0" fontId="35" fillId="5" borderId="35" xfId="0" applyFont="1" applyFill="1" applyBorder="1" applyAlignment="1">
      <alignment horizontal="left" vertical="center" readingOrder="1"/>
    </xf>
    <xf numFmtId="0" fontId="18" fillId="5" borderId="38" xfId="0" applyFont="1" applyFill="1" applyBorder="1">
      <alignment vertical="center"/>
    </xf>
    <xf numFmtId="0" fontId="18" fillId="5" borderId="40" xfId="0" applyFont="1" applyFill="1" applyBorder="1">
      <alignment vertical="center"/>
    </xf>
    <xf numFmtId="0" fontId="18" fillId="0" borderId="35" xfId="0" applyFont="1" applyBorder="1">
      <alignment vertical="center"/>
    </xf>
    <xf numFmtId="0" fontId="10" fillId="0" borderId="38" xfId="0" applyFont="1" applyBorder="1" applyAlignment="1">
      <alignment horizontal="left" vertical="center" readingOrder="1"/>
    </xf>
    <xf numFmtId="0" fontId="10" fillId="0" borderId="40" xfId="0" applyFont="1" applyBorder="1" applyAlignment="1">
      <alignment horizontal="left" vertical="center" readingOrder="1"/>
    </xf>
    <xf numFmtId="0" fontId="38" fillId="4" borderId="38" xfId="0" applyFont="1" applyFill="1" applyBorder="1" applyAlignment="1">
      <alignment horizontal="left" vertical="center" readingOrder="1"/>
    </xf>
    <xf numFmtId="0" fontId="38" fillId="11" borderId="43" xfId="0" applyFont="1" applyFill="1" applyBorder="1" applyAlignment="1">
      <alignment horizontal="left" vertical="center" readingOrder="1"/>
    </xf>
    <xf numFmtId="0" fontId="38" fillId="11" borderId="42" xfId="0" applyFont="1" applyFill="1" applyBorder="1" applyAlignment="1">
      <alignment horizontal="left" vertical="center" readingOrder="1"/>
    </xf>
    <xf numFmtId="0" fontId="15" fillId="13" borderId="8" xfId="0" applyFont="1" applyFill="1" applyBorder="1" applyAlignment="1">
      <alignment horizontal="left" vertical="center" readingOrder="1"/>
    </xf>
    <xf numFmtId="180" fontId="16" fillId="5" borderId="19" xfId="0" applyNumberFormat="1" applyFont="1" applyFill="1" applyBorder="1" applyAlignment="1">
      <alignment horizontal="center" vertical="top" wrapText="1" readingOrder="1"/>
    </xf>
    <xf numFmtId="0" fontId="39" fillId="0" borderId="0" xfId="0" applyFont="1">
      <alignment vertical="center"/>
    </xf>
    <xf numFmtId="0" fontId="14" fillId="8" borderId="53" xfId="0" applyFont="1" applyFill="1" applyBorder="1" applyAlignment="1">
      <alignment horizontal="center" vertical="center"/>
    </xf>
    <xf numFmtId="0" fontId="14" fillId="8" borderId="84" xfId="0" applyFont="1" applyFill="1" applyBorder="1" applyAlignment="1">
      <alignment horizontal="center" vertical="center"/>
    </xf>
    <xf numFmtId="181" fontId="40" fillId="2" borderId="53" xfId="1" applyNumberFormat="1" applyFont="1" applyFill="1" applyBorder="1" applyAlignment="1">
      <alignment horizontal="center" vertical="center"/>
    </xf>
    <xf numFmtId="181" fontId="40" fillId="2" borderId="84" xfId="1" applyNumberFormat="1" applyFont="1" applyFill="1" applyBorder="1" applyAlignment="1">
      <alignment horizontal="center" vertical="center"/>
    </xf>
    <xf numFmtId="181" fontId="4" fillId="0" borderId="0" xfId="0" applyNumberFormat="1" applyFont="1">
      <alignment vertical="center"/>
    </xf>
    <xf numFmtId="176" fontId="4" fillId="0" borderId="0" xfId="2" applyNumberFormat="1" applyFont="1" applyFill="1" applyBorder="1">
      <alignment vertical="center"/>
    </xf>
    <xf numFmtId="181" fontId="40" fillId="2" borderId="54" xfId="1" applyNumberFormat="1" applyFont="1" applyFill="1" applyBorder="1" applyAlignment="1">
      <alignment horizontal="center" vertical="center"/>
    </xf>
    <xf numFmtId="181" fontId="40" fillId="2" borderId="85" xfId="1" applyNumberFormat="1" applyFont="1" applyFill="1" applyBorder="1" applyAlignment="1">
      <alignment horizontal="center" vertical="center"/>
    </xf>
    <xf numFmtId="180" fontId="13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49" fontId="12" fillId="0" borderId="0" xfId="0" applyNumberFormat="1" applyFont="1" applyAlignment="1">
      <alignment horizontal="centerContinuous" vertical="center" wrapText="1"/>
    </xf>
    <xf numFmtId="180" fontId="14" fillId="8" borderId="3" xfId="0" applyNumberFormat="1" applyFont="1" applyFill="1" applyBorder="1" applyAlignment="1">
      <alignment horizontal="center" vertical="center" wrapText="1"/>
    </xf>
    <xf numFmtId="180" fontId="14" fillId="8" borderId="0" xfId="0" applyNumberFormat="1" applyFont="1" applyFill="1" applyAlignment="1">
      <alignment horizontal="center" vertical="center" wrapText="1"/>
    </xf>
    <xf numFmtId="180" fontId="14" fillId="8" borderId="64" xfId="0" applyNumberFormat="1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14" fillId="8" borderId="65" xfId="0" applyFont="1" applyFill="1" applyBorder="1" applyAlignment="1">
      <alignment horizontal="center" vertical="center" wrapText="1"/>
    </xf>
    <xf numFmtId="180" fontId="20" fillId="2" borderId="57" xfId="2" applyNumberFormat="1" applyFont="1" applyFill="1" applyBorder="1" applyAlignment="1">
      <alignment horizontal="right" vertical="center" wrapText="1"/>
    </xf>
    <xf numFmtId="180" fontId="20" fillId="2" borderId="60" xfId="2" applyNumberFormat="1" applyFont="1" applyFill="1" applyBorder="1" applyAlignment="1">
      <alignment horizontal="right" vertical="center" wrapText="1"/>
    </xf>
    <xf numFmtId="180" fontId="20" fillId="2" borderId="0" xfId="2" applyNumberFormat="1" applyFont="1" applyFill="1" applyBorder="1" applyAlignment="1">
      <alignment horizontal="right" vertical="center" wrapText="1"/>
    </xf>
    <xf numFmtId="180" fontId="20" fillId="2" borderId="64" xfId="2" applyNumberFormat="1" applyFont="1" applyFill="1" applyBorder="1" applyAlignment="1">
      <alignment horizontal="right" vertical="center" wrapText="1"/>
    </xf>
    <xf numFmtId="9" fontId="23" fillId="2" borderId="0" xfId="1" applyFont="1" applyFill="1" applyBorder="1" applyAlignment="1">
      <alignment horizontal="right" vertical="center" wrapText="1"/>
    </xf>
    <xf numFmtId="9" fontId="23" fillId="2" borderId="60" xfId="1" applyFont="1" applyFill="1" applyBorder="1" applyAlignment="1">
      <alignment horizontal="right" vertical="center" wrapText="1"/>
    </xf>
    <xf numFmtId="180" fontId="20" fillId="2" borderId="71" xfId="2" applyNumberFormat="1" applyFont="1" applyFill="1" applyBorder="1" applyAlignment="1">
      <alignment horizontal="right" vertical="center" wrapText="1"/>
    </xf>
    <xf numFmtId="9" fontId="23" fillId="2" borderId="65" xfId="1" applyFont="1" applyFill="1" applyBorder="1" applyAlignment="1">
      <alignment horizontal="right" vertical="center" wrapText="1"/>
    </xf>
    <xf numFmtId="184" fontId="22" fillId="0" borderId="57" xfId="2" applyNumberFormat="1" applyFont="1" applyFill="1" applyBorder="1" applyAlignment="1">
      <alignment horizontal="right" vertical="center" wrapText="1"/>
    </xf>
    <xf numFmtId="184" fontId="22" fillId="0" borderId="60" xfId="2" applyNumberFormat="1" applyFont="1" applyFill="1" applyBorder="1" applyAlignment="1">
      <alignment horizontal="right" vertical="center" wrapText="1"/>
    </xf>
    <xf numFmtId="184" fontId="22" fillId="0" borderId="0" xfId="2" applyNumberFormat="1" applyFont="1" applyFill="1" applyBorder="1" applyAlignment="1">
      <alignment horizontal="right" vertical="center" wrapText="1"/>
    </xf>
    <xf numFmtId="184" fontId="22" fillId="0" borderId="64" xfId="2" applyNumberFormat="1" applyFont="1" applyFill="1" applyBorder="1" applyAlignment="1">
      <alignment horizontal="right" vertical="center" wrapText="1"/>
    </xf>
    <xf numFmtId="9" fontId="22" fillId="0" borderId="0" xfId="1" applyFont="1" applyFill="1" applyBorder="1" applyAlignment="1">
      <alignment horizontal="right" vertical="center" wrapText="1"/>
    </xf>
    <xf numFmtId="9" fontId="22" fillId="0" borderId="60" xfId="1" applyFont="1" applyFill="1" applyBorder="1" applyAlignment="1">
      <alignment horizontal="right" vertical="center" wrapText="1"/>
    </xf>
    <xf numFmtId="184" fontId="22" fillId="0" borderId="71" xfId="2" applyNumberFormat="1" applyFont="1" applyFill="1" applyBorder="1" applyAlignment="1">
      <alignment horizontal="right" vertical="center" wrapText="1"/>
    </xf>
    <xf numFmtId="9" fontId="22" fillId="0" borderId="65" xfId="1" applyFont="1" applyFill="1" applyBorder="1" applyAlignment="1">
      <alignment horizontal="right" vertical="center" wrapText="1"/>
    </xf>
    <xf numFmtId="181" fontId="24" fillId="0" borderId="57" xfId="1" applyNumberFormat="1" applyFont="1" applyFill="1" applyBorder="1" applyAlignment="1">
      <alignment horizontal="right" vertical="center" wrapText="1"/>
    </xf>
    <xf numFmtId="181" fontId="24" fillId="0" borderId="60" xfId="1" applyNumberFormat="1" applyFont="1" applyFill="1" applyBorder="1" applyAlignment="1">
      <alignment horizontal="right" vertical="center" wrapText="1"/>
    </xf>
    <xf numFmtId="181" fontId="24" fillId="0" borderId="0" xfId="1" applyNumberFormat="1" applyFont="1" applyFill="1" applyBorder="1" applyAlignment="1">
      <alignment horizontal="right" vertical="center" wrapText="1"/>
    </xf>
    <xf numFmtId="181" fontId="24" fillId="0" borderId="64" xfId="1" applyNumberFormat="1" applyFont="1" applyFill="1" applyBorder="1" applyAlignment="1">
      <alignment horizontal="right" vertical="center" wrapText="1"/>
    </xf>
    <xf numFmtId="181" fontId="24" fillId="0" borderId="71" xfId="1" applyNumberFormat="1" applyFont="1" applyFill="1" applyBorder="1" applyAlignment="1">
      <alignment horizontal="right" vertical="center" wrapText="1"/>
    </xf>
    <xf numFmtId="180" fontId="20" fillId="2" borderId="57" xfId="0" applyNumberFormat="1" applyFont="1" applyFill="1" applyBorder="1" applyAlignment="1">
      <alignment horizontal="right" vertical="center" wrapText="1"/>
    </xf>
    <xf numFmtId="180" fontId="20" fillId="2" borderId="60" xfId="0" applyNumberFormat="1" applyFont="1" applyFill="1" applyBorder="1" applyAlignment="1">
      <alignment horizontal="right" vertical="center" wrapText="1"/>
    </xf>
    <xf numFmtId="180" fontId="20" fillId="2" borderId="0" xfId="0" applyNumberFormat="1" applyFont="1" applyFill="1" applyAlignment="1">
      <alignment horizontal="right" vertical="center" wrapText="1"/>
    </xf>
    <xf numFmtId="180" fontId="20" fillId="2" borderId="64" xfId="0" applyNumberFormat="1" applyFont="1" applyFill="1" applyBorder="1" applyAlignment="1">
      <alignment horizontal="right" vertical="center" wrapText="1"/>
    </xf>
    <xf numFmtId="180" fontId="20" fillId="2" borderId="71" xfId="0" applyNumberFormat="1" applyFont="1" applyFill="1" applyBorder="1" applyAlignment="1">
      <alignment horizontal="right" vertical="center" wrapText="1"/>
    </xf>
    <xf numFmtId="181" fontId="40" fillId="2" borderId="57" xfId="1" applyNumberFormat="1" applyFont="1" applyFill="1" applyBorder="1" applyAlignment="1">
      <alignment horizontal="right" vertical="center" wrapText="1"/>
    </xf>
    <xf numFmtId="181" fontId="40" fillId="2" borderId="60" xfId="1" applyNumberFormat="1" applyFont="1" applyFill="1" applyBorder="1" applyAlignment="1">
      <alignment horizontal="right" vertical="center" wrapText="1"/>
    </xf>
    <xf numFmtId="181" fontId="40" fillId="2" borderId="0" xfId="1" applyNumberFormat="1" applyFont="1" applyFill="1" applyBorder="1" applyAlignment="1">
      <alignment horizontal="right" vertical="center" wrapText="1"/>
    </xf>
    <xf numFmtId="181" fontId="40" fillId="2" borderId="64" xfId="1" applyNumberFormat="1" applyFont="1" applyFill="1" applyBorder="1" applyAlignment="1">
      <alignment horizontal="right" vertical="center" wrapText="1"/>
    </xf>
    <xf numFmtId="181" fontId="40" fillId="2" borderId="71" xfId="1" applyNumberFormat="1" applyFont="1" applyFill="1" applyBorder="1" applyAlignment="1">
      <alignment horizontal="right" vertical="center" wrapText="1"/>
    </xf>
    <xf numFmtId="181" fontId="40" fillId="2" borderId="65" xfId="1" applyNumberFormat="1" applyFont="1" applyFill="1" applyBorder="1" applyAlignment="1">
      <alignment horizontal="right" vertical="center" wrapText="1"/>
    </xf>
    <xf numFmtId="184" fontId="22" fillId="0" borderId="57" xfId="1" applyNumberFormat="1" applyFont="1" applyFill="1" applyBorder="1" applyAlignment="1">
      <alignment horizontal="right" vertical="center" wrapText="1"/>
    </xf>
    <xf numFmtId="184" fontId="22" fillId="0" borderId="60" xfId="1" applyNumberFormat="1" applyFont="1" applyFill="1" applyBorder="1" applyAlignment="1">
      <alignment horizontal="right" vertical="center" wrapText="1"/>
    </xf>
    <xf numFmtId="184" fontId="22" fillId="0" borderId="0" xfId="1" applyNumberFormat="1" applyFont="1" applyFill="1" applyBorder="1" applyAlignment="1">
      <alignment horizontal="right" vertical="center" wrapText="1"/>
    </xf>
    <xf numFmtId="184" fontId="22" fillId="0" borderId="64" xfId="1" applyNumberFormat="1" applyFont="1" applyFill="1" applyBorder="1" applyAlignment="1">
      <alignment horizontal="right" vertical="center" wrapText="1"/>
    </xf>
    <xf numFmtId="184" fontId="22" fillId="0" borderId="71" xfId="1" applyNumberFormat="1" applyFont="1" applyFill="1" applyBorder="1" applyAlignment="1">
      <alignment horizontal="right" vertical="center" wrapText="1"/>
    </xf>
    <xf numFmtId="9" fontId="29" fillId="0" borderId="0" xfId="1" applyFont="1" applyFill="1" applyBorder="1" applyAlignment="1">
      <alignment horizontal="right" vertical="center" wrapText="1"/>
    </xf>
    <xf numFmtId="9" fontId="19" fillId="2" borderId="0" xfId="1" applyFont="1" applyFill="1" applyBorder="1" applyAlignment="1">
      <alignment horizontal="right" vertical="center" wrapText="1"/>
    </xf>
    <xf numFmtId="9" fontId="19" fillId="2" borderId="60" xfId="1" applyFont="1" applyFill="1" applyBorder="1" applyAlignment="1">
      <alignment horizontal="right" vertical="center" wrapText="1"/>
    </xf>
    <xf numFmtId="9" fontId="19" fillId="2" borderId="65" xfId="1" applyFont="1" applyFill="1" applyBorder="1" applyAlignment="1">
      <alignment horizontal="right" vertical="center" wrapText="1"/>
    </xf>
    <xf numFmtId="9" fontId="26" fillId="0" borderId="0" xfId="1" applyFont="1" applyFill="1" applyBorder="1" applyAlignment="1">
      <alignment horizontal="right" vertical="center" wrapText="1"/>
    </xf>
    <xf numFmtId="9" fontId="26" fillId="0" borderId="65" xfId="1" applyFont="1" applyFill="1" applyBorder="1" applyAlignment="1">
      <alignment horizontal="right" vertical="center" wrapText="1"/>
    </xf>
    <xf numFmtId="184" fontId="20" fillId="2" borderId="57" xfId="0" applyNumberFormat="1" applyFont="1" applyFill="1" applyBorder="1" applyAlignment="1">
      <alignment horizontal="right" vertical="center" wrapText="1"/>
    </xf>
    <xf numFmtId="184" fontId="20" fillId="2" borderId="60" xfId="0" applyNumberFormat="1" applyFont="1" applyFill="1" applyBorder="1" applyAlignment="1">
      <alignment horizontal="right" vertical="center" wrapText="1"/>
    </xf>
    <xf numFmtId="184" fontId="20" fillId="2" borderId="0" xfId="0" applyNumberFormat="1" applyFont="1" applyFill="1" applyAlignment="1">
      <alignment horizontal="right" vertical="center" wrapText="1"/>
    </xf>
    <xf numFmtId="184" fontId="20" fillId="2" borderId="64" xfId="0" applyNumberFormat="1" applyFont="1" applyFill="1" applyBorder="1" applyAlignment="1">
      <alignment horizontal="right" vertical="center" wrapText="1"/>
    </xf>
    <xf numFmtId="180" fontId="13" fillId="0" borderId="57" xfId="2" applyNumberFormat="1" applyFont="1" applyFill="1" applyBorder="1" applyAlignment="1">
      <alignment horizontal="right" vertical="center" wrapText="1"/>
    </xf>
    <xf numFmtId="180" fontId="13" fillId="0" borderId="60" xfId="2" applyNumberFormat="1" applyFont="1" applyFill="1" applyBorder="1" applyAlignment="1">
      <alignment horizontal="right" vertical="center" wrapText="1"/>
    </xf>
    <xf numFmtId="180" fontId="13" fillId="0" borderId="0" xfId="2" applyNumberFormat="1" applyFont="1" applyFill="1" applyBorder="1" applyAlignment="1">
      <alignment horizontal="right" vertical="center" wrapText="1"/>
    </xf>
    <xf numFmtId="180" fontId="13" fillId="0" borderId="64" xfId="2" applyNumberFormat="1" applyFont="1" applyFill="1" applyBorder="1" applyAlignment="1">
      <alignment horizontal="right" vertical="center" wrapText="1"/>
    </xf>
    <xf numFmtId="9" fontId="13" fillId="0" borderId="0" xfId="1" applyFont="1" applyFill="1" applyBorder="1" applyAlignment="1">
      <alignment horizontal="right" vertical="center" wrapText="1"/>
    </xf>
    <xf numFmtId="9" fontId="13" fillId="0" borderId="60" xfId="1" applyFont="1" applyFill="1" applyBorder="1" applyAlignment="1">
      <alignment horizontal="right" vertical="center" wrapText="1"/>
    </xf>
    <xf numFmtId="180" fontId="13" fillId="0" borderId="71" xfId="2" applyNumberFormat="1" applyFont="1" applyFill="1" applyBorder="1" applyAlignment="1">
      <alignment horizontal="right" vertical="center" wrapText="1"/>
    </xf>
    <xf numFmtId="9" fontId="13" fillId="0" borderId="65" xfId="1" applyFont="1" applyFill="1" applyBorder="1" applyAlignment="1">
      <alignment horizontal="right" vertical="center" wrapText="1"/>
    </xf>
    <xf numFmtId="181" fontId="40" fillId="2" borderId="58" xfId="1" applyNumberFormat="1" applyFont="1" applyFill="1" applyBorder="1" applyAlignment="1">
      <alignment horizontal="right" vertical="center" wrapText="1"/>
    </xf>
    <xf numFmtId="181" fontId="40" fillId="2" borderId="59" xfId="1" applyNumberFormat="1" applyFont="1" applyFill="1" applyBorder="1" applyAlignment="1">
      <alignment horizontal="right" vertical="center" wrapText="1"/>
    </xf>
    <xf numFmtId="181" fontId="40" fillId="2" borderId="1" xfId="1" applyNumberFormat="1" applyFont="1" applyFill="1" applyBorder="1" applyAlignment="1">
      <alignment horizontal="right" vertical="center" wrapText="1"/>
    </xf>
    <xf numFmtId="181" fontId="40" fillId="2" borderId="66" xfId="1" applyNumberFormat="1" applyFont="1" applyFill="1" applyBorder="1" applyAlignment="1">
      <alignment horizontal="right" vertical="center" wrapText="1"/>
    </xf>
    <xf numFmtId="181" fontId="40" fillId="2" borderId="67" xfId="1" applyNumberFormat="1" applyFont="1" applyFill="1" applyBorder="1" applyAlignment="1">
      <alignment horizontal="right" vertical="center" wrapText="1"/>
    </xf>
    <xf numFmtId="181" fontId="40" fillId="2" borderId="69" xfId="1" applyNumberFormat="1" applyFont="1" applyFill="1" applyBorder="1" applyAlignment="1">
      <alignment horizontal="right" vertical="center" wrapText="1"/>
    </xf>
    <xf numFmtId="181" fontId="40" fillId="2" borderId="72" xfId="1" applyNumberFormat="1" applyFont="1" applyFill="1" applyBorder="1" applyAlignment="1">
      <alignment horizontal="right" vertical="center" wrapText="1"/>
    </xf>
    <xf numFmtId="181" fontId="40" fillId="2" borderId="68" xfId="1" applyNumberFormat="1" applyFont="1" applyFill="1" applyBorder="1" applyAlignment="1">
      <alignment horizontal="right" vertical="center" wrapText="1"/>
    </xf>
    <xf numFmtId="176" fontId="13" fillId="0" borderId="0" xfId="2" applyNumberFormat="1" applyFont="1" applyFill="1" applyBorder="1" applyAlignment="1">
      <alignment horizontal="right" vertical="center" wrapText="1"/>
    </xf>
    <xf numFmtId="180" fontId="14" fillId="8" borderId="5" xfId="0" applyNumberFormat="1" applyFont="1" applyFill="1" applyBorder="1" applyAlignment="1">
      <alignment horizontal="center" vertical="center" wrapText="1"/>
    </xf>
    <xf numFmtId="180" fontId="14" fillId="8" borderId="2" xfId="0" applyNumberFormat="1" applyFont="1" applyFill="1" applyBorder="1" applyAlignment="1">
      <alignment horizontal="center" vertical="center" wrapText="1"/>
    </xf>
    <xf numFmtId="180" fontId="14" fillId="8" borderId="61" xfId="0" applyNumberFormat="1" applyFont="1" applyFill="1" applyBorder="1" applyAlignment="1">
      <alignment horizontal="center" vertical="center" wrapText="1"/>
    </xf>
    <xf numFmtId="0" fontId="14" fillId="8" borderId="62" xfId="0" applyFont="1" applyFill="1" applyBorder="1" applyAlignment="1">
      <alignment horizontal="center" vertical="center" wrapText="1"/>
    </xf>
    <xf numFmtId="180" fontId="14" fillId="8" borderId="62" xfId="0" applyNumberFormat="1" applyFont="1" applyFill="1" applyBorder="1" applyAlignment="1">
      <alignment horizontal="center" vertical="center" wrapText="1"/>
    </xf>
    <xf numFmtId="0" fontId="14" fillId="8" borderId="63" xfId="0" applyFont="1" applyFill="1" applyBorder="1" applyAlignment="1">
      <alignment horizontal="center" vertical="center" wrapText="1"/>
    </xf>
    <xf numFmtId="9" fontId="23" fillId="0" borderId="0" xfId="1" applyFont="1" applyFill="1" applyBorder="1" applyAlignment="1">
      <alignment horizontal="right" vertical="center" wrapText="1"/>
    </xf>
    <xf numFmtId="9" fontId="23" fillId="0" borderId="60" xfId="1" applyFont="1" applyFill="1" applyBorder="1" applyAlignment="1">
      <alignment horizontal="right" vertical="center" wrapText="1"/>
    </xf>
    <xf numFmtId="9" fontId="23" fillId="0" borderId="65" xfId="1" applyFont="1" applyFill="1" applyBorder="1" applyAlignment="1">
      <alignment horizontal="right" vertical="center" wrapText="1"/>
    </xf>
    <xf numFmtId="180" fontId="27" fillId="2" borderId="75" xfId="0" applyNumberFormat="1" applyFont="1" applyFill="1" applyBorder="1" applyAlignment="1">
      <alignment horizontal="right" vertical="center" wrapText="1"/>
    </xf>
    <xf numFmtId="180" fontId="27" fillId="2" borderId="56" xfId="0" applyNumberFormat="1" applyFont="1" applyFill="1" applyBorder="1" applyAlignment="1">
      <alignment horizontal="right" vertical="center" wrapText="1"/>
    </xf>
    <xf numFmtId="180" fontId="27" fillId="2" borderId="65" xfId="0" applyNumberFormat="1" applyFont="1" applyFill="1" applyBorder="1" applyAlignment="1">
      <alignment horizontal="right" vertical="center" wrapText="1"/>
    </xf>
    <xf numFmtId="180" fontId="27" fillId="2" borderId="64" xfId="0" applyNumberFormat="1" applyFont="1" applyFill="1" applyBorder="1" applyAlignment="1">
      <alignment horizontal="right" vertical="center" wrapText="1"/>
    </xf>
    <xf numFmtId="180" fontId="27" fillId="2" borderId="0" xfId="0" applyNumberFormat="1" applyFont="1" applyFill="1" applyAlignment="1">
      <alignment horizontal="right" vertical="center" wrapText="1"/>
    </xf>
    <xf numFmtId="180" fontId="20" fillId="12" borderId="75" xfId="2" applyNumberFormat="1" applyFont="1" applyFill="1" applyBorder="1" applyAlignment="1">
      <alignment horizontal="right" vertical="center" wrapText="1"/>
    </xf>
    <xf numFmtId="180" fontId="20" fillId="12" borderId="56" xfId="2" applyNumberFormat="1" applyFont="1" applyFill="1" applyBorder="1" applyAlignment="1">
      <alignment horizontal="right" vertical="center" wrapText="1"/>
    </xf>
    <xf numFmtId="180" fontId="20" fillId="12" borderId="65" xfId="2" applyNumberFormat="1" applyFont="1" applyFill="1" applyBorder="1" applyAlignment="1">
      <alignment horizontal="right" vertical="center" wrapText="1"/>
    </xf>
    <xf numFmtId="180" fontId="20" fillId="12" borderId="64" xfId="2" applyNumberFormat="1" applyFont="1" applyFill="1" applyBorder="1" applyAlignment="1">
      <alignment horizontal="right" vertical="center" wrapText="1"/>
    </xf>
    <xf numFmtId="9" fontId="23" fillId="12" borderId="0" xfId="1" applyFont="1" applyFill="1" applyBorder="1" applyAlignment="1">
      <alignment horizontal="right" vertical="center" wrapText="1"/>
    </xf>
    <xf numFmtId="9" fontId="23" fillId="12" borderId="60" xfId="1" applyFont="1" applyFill="1" applyBorder="1" applyAlignment="1">
      <alignment horizontal="right" vertical="center" wrapText="1"/>
    </xf>
    <xf numFmtId="180" fontId="20" fillId="12" borderId="0" xfId="2" applyNumberFormat="1" applyFont="1" applyFill="1" applyBorder="1" applyAlignment="1">
      <alignment horizontal="right" vertical="center" wrapText="1"/>
    </xf>
    <xf numFmtId="9" fontId="23" fillId="12" borderId="65" xfId="1" applyFont="1" applyFill="1" applyBorder="1" applyAlignment="1">
      <alignment horizontal="right" vertical="center" wrapText="1"/>
    </xf>
    <xf numFmtId="180" fontId="27" fillId="2" borderId="80" xfId="0" applyNumberFormat="1" applyFont="1" applyFill="1" applyBorder="1" applyAlignment="1">
      <alignment horizontal="right" vertical="center" wrapText="1"/>
    </xf>
    <xf numFmtId="180" fontId="27" fillId="2" borderId="81" xfId="0" applyNumberFormat="1" applyFont="1" applyFill="1" applyBorder="1" applyAlignment="1">
      <alignment horizontal="right" vertical="center" wrapText="1"/>
    </xf>
    <xf numFmtId="180" fontId="27" fillId="2" borderId="82" xfId="0" applyNumberFormat="1" applyFont="1" applyFill="1" applyBorder="1" applyAlignment="1">
      <alignment horizontal="right" vertical="center" wrapText="1"/>
    </xf>
    <xf numFmtId="180" fontId="27" fillId="2" borderId="76" xfId="0" applyNumberFormat="1" applyFont="1" applyFill="1" applyBorder="1" applyAlignment="1">
      <alignment horizontal="right" vertical="center" wrapText="1"/>
    </xf>
    <xf numFmtId="9" fontId="19" fillId="2" borderId="1" xfId="1" applyFont="1" applyFill="1" applyBorder="1" applyAlignment="1">
      <alignment horizontal="right" vertical="center" wrapText="1"/>
    </xf>
    <xf numFmtId="9" fontId="19" fillId="2" borderId="59" xfId="1" applyFont="1" applyFill="1" applyBorder="1" applyAlignment="1">
      <alignment horizontal="right" vertical="center" wrapText="1"/>
    </xf>
    <xf numFmtId="180" fontId="27" fillId="2" borderId="1" xfId="0" applyNumberFormat="1" applyFont="1" applyFill="1" applyBorder="1" applyAlignment="1">
      <alignment horizontal="right" vertical="center" wrapText="1"/>
    </xf>
    <xf numFmtId="9" fontId="19" fillId="2" borderId="82" xfId="1" applyFont="1" applyFill="1" applyBorder="1" applyAlignment="1">
      <alignment horizontal="right" vertical="center" wrapText="1"/>
    </xf>
    <xf numFmtId="180" fontId="27" fillId="0" borderId="74" xfId="0" applyNumberFormat="1" applyFont="1" applyBorder="1" applyAlignment="1">
      <alignment horizontal="right" vertical="center" wrapText="1"/>
    </xf>
    <xf numFmtId="180" fontId="27" fillId="0" borderId="70" xfId="0" applyNumberFormat="1" applyFont="1" applyBorder="1" applyAlignment="1">
      <alignment horizontal="right" vertical="center" wrapText="1"/>
    </xf>
    <xf numFmtId="180" fontId="27" fillId="0" borderId="68" xfId="0" applyNumberFormat="1" applyFont="1" applyBorder="1" applyAlignment="1">
      <alignment horizontal="right" vertical="center" wrapText="1"/>
    </xf>
    <xf numFmtId="180" fontId="27" fillId="0" borderId="66" xfId="0" applyNumberFormat="1" applyFont="1" applyBorder="1" applyAlignment="1">
      <alignment horizontal="right" vertical="center" wrapText="1"/>
    </xf>
    <xf numFmtId="9" fontId="19" fillId="0" borderId="67" xfId="1" applyFont="1" applyFill="1" applyBorder="1" applyAlignment="1">
      <alignment horizontal="right" vertical="center" wrapText="1"/>
    </xf>
    <xf numFmtId="9" fontId="19" fillId="0" borderId="69" xfId="1" applyFont="1" applyFill="1" applyBorder="1" applyAlignment="1">
      <alignment horizontal="right" vertical="center" wrapText="1"/>
    </xf>
    <xf numFmtId="180" fontId="27" fillId="0" borderId="67" xfId="0" applyNumberFormat="1" applyFont="1" applyBorder="1" applyAlignment="1">
      <alignment horizontal="right" vertical="center" wrapText="1"/>
    </xf>
    <xf numFmtId="9" fontId="19" fillId="0" borderId="68" xfId="1" applyFont="1" applyFill="1" applyBorder="1" applyAlignment="1">
      <alignment horizontal="right" vertical="center" wrapText="1"/>
    </xf>
    <xf numFmtId="180" fontId="22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180" fontId="14" fillId="8" borderId="63" xfId="0" applyNumberFormat="1" applyFont="1" applyFill="1" applyBorder="1" applyAlignment="1">
      <alignment horizontal="center" vertical="center" wrapText="1"/>
    </xf>
    <xf numFmtId="181" fontId="27" fillId="2" borderId="75" xfId="1" applyNumberFormat="1" applyFont="1" applyFill="1" applyBorder="1" applyAlignment="1">
      <alignment horizontal="right" vertical="center" wrapText="1"/>
    </xf>
    <xf numFmtId="181" fontId="27" fillId="2" borderId="56" xfId="1" applyNumberFormat="1" applyFont="1" applyFill="1" applyBorder="1" applyAlignment="1">
      <alignment horizontal="right" vertical="center" wrapText="1"/>
    </xf>
    <xf numFmtId="181" fontId="27" fillId="2" borderId="65" xfId="1" applyNumberFormat="1" applyFont="1" applyFill="1" applyBorder="1" applyAlignment="1">
      <alignment horizontal="right" vertical="center" wrapText="1"/>
    </xf>
    <xf numFmtId="181" fontId="27" fillId="2" borderId="64" xfId="1" applyNumberFormat="1" applyFont="1" applyFill="1" applyBorder="1" applyAlignment="1">
      <alignment horizontal="right" vertical="center" wrapText="1"/>
    </xf>
    <xf numFmtId="181" fontId="27" fillId="2" borderId="0" xfId="1" applyNumberFormat="1" applyFont="1" applyFill="1" applyBorder="1" applyAlignment="1">
      <alignment horizontal="right" vertical="center" wrapText="1"/>
    </xf>
    <xf numFmtId="181" fontId="20" fillId="12" borderId="75" xfId="1" applyNumberFormat="1" applyFont="1" applyFill="1" applyBorder="1" applyAlignment="1">
      <alignment horizontal="right" vertical="center" wrapText="1"/>
    </xf>
    <xf numFmtId="181" fontId="20" fillId="12" borderId="56" xfId="1" applyNumberFormat="1" applyFont="1" applyFill="1" applyBorder="1" applyAlignment="1">
      <alignment horizontal="right" vertical="center" wrapText="1"/>
    </xf>
    <xf numFmtId="181" fontId="20" fillId="12" borderId="65" xfId="1" applyNumberFormat="1" applyFont="1" applyFill="1" applyBorder="1" applyAlignment="1">
      <alignment horizontal="right" vertical="center" wrapText="1"/>
    </xf>
    <xf numFmtId="181" fontId="20" fillId="12" borderId="64" xfId="1" applyNumberFormat="1" applyFont="1" applyFill="1" applyBorder="1" applyAlignment="1">
      <alignment horizontal="right" vertical="center" wrapText="1"/>
    </xf>
    <xf numFmtId="181" fontId="23" fillId="12" borderId="0" xfId="1" applyNumberFormat="1" applyFont="1" applyFill="1" applyBorder="1" applyAlignment="1">
      <alignment horizontal="right" vertical="center" wrapText="1"/>
    </xf>
    <xf numFmtId="181" fontId="23" fillId="12" borderId="60" xfId="1" applyNumberFormat="1" applyFont="1" applyFill="1" applyBorder="1" applyAlignment="1">
      <alignment horizontal="right" vertical="center" wrapText="1"/>
    </xf>
    <xf numFmtId="181" fontId="20" fillId="12" borderId="0" xfId="1" applyNumberFormat="1" applyFont="1" applyFill="1" applyBorder="1" applyAlignment="1">
      <alignment horizontal="right" vertical="center" wrapText="1"/>
    </xf>
    <xf numFmtId="181" fontId="23" fillId="12" borderId="65" xfId="1" applyNumberFormat="1" applyFont="1" applyFill="1" applyBorder="1" applyAlignment="1">
      <alignment horizontal="right" vertical="center" wrapText="1"/>
    </xf>
    <xf numFmtId="9" fontId="27" fillId="0" borderId="98" xfId="1" applyFont="1" applyBorder="1" applyAlignment="1">
      <alignment horizontal="right" vertical="center" wrapText="1"/>
    </xf>
    <xf numFmtId="9" fontId="19" fillId="0" borderId="99" xfId="1" applyFont="1" applyFill="1" applyBorder="1" applyAlignment="1">
      <alignment horizontal="right" vertical="center" wrapText="1"/>
    </xf>
    <xf numFmtId="9" fontId="19" fillId="0" borderId="100" xfId="1" applyFont="1" applyFill="1" applyBorder="1" applyAlignment="1">
      <alignment horizontal="right" vertical="center" wrapText="1"/>
    </xf>
    <xf numFmtId="9" fontId="27" fillId="0" borderId="99" xfId="1" applyFont="1" applyBorder="1" applyAlignment="1">
      <alignment horizontal="right" vertical="center" wrapText="1"/>
    </xf>
    <xf numFmtId="9" fontId="19" fillId="0" borderId="95" xfId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9" fontId="13" fillId="0" borderId="0" xfId="1" applyFont="1" applyFill="1" applyBorder="1" applyAlignment="1">
      <alignment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8" borderId="78" xfId="0" applyFont="1" applyFill="1" applyBorder="1" applyAlignment="1">
      <alignment horizontal="center" vertical="center" wrapText="1"/>
    </xf>
    <xf numFmtId="0" fontId="14" fillId="8" borderId="55" xfId="0" applyFont="1" applyFill="1" applyBorder="1" applyAlignment="1">
      <alignment horizontal="center" vertical="center" wrapText="1"/>
    </xf>
    <xf numFmtId="9" fontId="22" fillId="9" borderId="0" xfId="1" applyFont="1" applyFill="1" applyBorder="1" applyAlignment="1">
      <alignment vertical="center" wrapText="1"/>
    </xf>
    <xf numFmtId="9" fontId="22" fillId="9" borderId="77" xfId="1" applyFont="1" applyFill="1" applyBorder="1" applyAlignment="1">
      <alignment vertical="center" wrapText="1"/>
    </xf>
    <xf numFmtId="41" fontId="20" fillId="9" borderId="0" xfId="2" applyFont="1" applyFill="1" applyBorder="1" applyAlignment="1">
      <alignment vertical="center" wrapText="1"/>
    </xf>
    <xf numFmtId="9" fontId="22" fillId="9" borderId="4" xfId="1" applyFont="1" applyFill="1" applyBorder="1" applyAlignment="1">
      <alignment vertical="center" wrapText="1"/>
    </xf>
    <xf numFmtId="9" fontId="22" fillId="7" borderId="0" xfId="1" applyFont="1" applyFill="1" applyBorder="1" applyAlignment="1">
      <alignment vertical="center" wrapText="1"/>
    </xf>
    <xf numFmtId="9" fontId="22" fillId="7" borderId="77" xfId="1" applyFont="1" applyFill="1" applyBorder="1" applyAlignment="1">
      <alignment vertical="center" wrapText="1"/>
    </xf>
    <xf numFmtId="9" fontId="22" fillId="7" borderId="4" xfId="1" applyFont="1" applyFill="1" applyBorder="1" applyAlignment="1">
      <alignment vertical="center" wrapText="1"/>
    </xf>
    <xf numFmtId="9" fontId="22" fillId="0" borderId="0" xfId="1" applyFont="1" applyFill="1" applyBorder="1" applyAlignment="1">
      <alignment vertical="center" wrapText="1"/>
    </xf>
    <xf numFmtId="9" fontId="22" fillId="0" borderId="77" xfId="1" applyFont="1" applyFill="1" applyBorder="1" applyAlignment="1">
      <alignment vertical="center" wrapText="1"/>
    </xf>
    <xf numFmtId="9" fontId="22" fillId="0" borderId="4" xfId="1" applyFont="1" applyFill="1" applyBorder="1" applyAlignment="1">
      <alignment vertical="center" wrapText="1"/>
    </xf>
    <xf numFmtId="41" fontId="22" fillId="7" borderId="0" xfId="2" applyFont="1" applyFill="1" applyBorder="1" applyAlignment="1">
      <alignment vertical="center" wrapText="1"/>
    </xf>
    <xf numFmtId="41" fontId="22" fillId="7" borderId="77" xfId="2" applyFont="1" applyFill="1" applyBorder="1" applyAlignment="1">
      <alignment vertical="center" wrapText="1"/>
    </xf>
    <xf numFmtId="41" fontId="22" fillId="7" borderId="4" xfId="2" applyFont="1" applyFill="1" applyBorder="1" applyAlignment="1">
      <alignment vertical="center" wrapText="1"/>
    </xf>
    <xf numFmtId="9" fontId="22" fillId="9" borderId="1" xfId="1" applyFont="1" applyFill="1" applyBorder="1" applyAlignment="1">
      <alignment vertical="center" wrapText="1"/>
    </xf>
    <xf numFmtId="9" fontId="22" fillId="9" borderId="79" xfId="1" applyFont="1" applyFill="1" applyBorder="1" applyAlignment="1">
      <alignment vertical="center" wrapText="1"/>
    </xf>
    <xf numFmtId="41" fontId="20" fillId="9" borderId="1" xfId="2" applyFont="1" applyFill="1" applyBorder="1" applyAlignment="1">
      <alignment vertical="center" wrapText="1"/>
    </xf>
    <xf numFmtId="9" fontId="22" fillId="9" borderId="7" xfId="1" applyFont="1" applyFill="1" applyBorder="1" applyAlignment="1">
      <alignment vertical="center" wrapText="1"/>
    </xf>
    <xf numFmtId="178" fontId="4" fillId="0" borderId="0" xfId="2" applyNumberFormat="1" applyFont="1" applyBorder="1" applyAlignment="1">
      <alignment vertical="center" wrapText="1"/>
    </xf>
    <xf numFmtId="9" fontId="4" fillId="0" borderId="0" xfId="1" applyFont="1" applyBorder="1" applyAlignment="1">
      <alignment vertical="center" wrapText="1"/>
    </xf>
    <xf numFmtId="0" fontId="12" fillId="8" borderId="5" xfId="0" applyFont="1" applyFill="1" applyBorder="1" applyAlignment="1">
      <alignment horizontal="center" vertical="center" wrapText="1"/>
    </xf>
    <xf numFmtId="9" fontId="12" fillId="8" borderId="2" xfId="1" applyFont="1" applyFill="1" applyBorder="1" applyAlignment="1">
      <alignment horizontal="center" vertical="center" wrapText="1"/>
    </xf>
    <xf numFmtId="9" fontId="12" fillId="8" borderId="78" xfId="1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9" fontId="12" fillId="8" borderId="55" xfId="1" applyFont="1" applyFill="1" applyBorder="1" applyAlignment="1">
      <alignment horizontal="center" vertical="center" wrapText="1"/>
    </xf>
    <xf numFmtId="41" fontId="2" fillId="3" borderId="4" xfId="2" applyFont="1" applyFill="1" applyBorder="1" applyAlignment="1">
      <alignment horizontal="right" vertical="center" wrapText="1"/>
    </xf>
    <xf numFmtId="41" fontId="2" fillId="3" borderId="3" xfId="2" applyFont="1" applyFill="1" applyBorder="1" applyAlignment="1">
      <alignment horizontal="right" vertical="center" wrapText="1"/>
    </xf>
    <xf numFmtId="9" fontId="6" fillId="3" borderId="0" xfId="1" applyFont="1" applyFill="1" applyBorder="1" applyAlignment="1">
      <alignment horizontal="right" vertical="center" wrapText="1"/>
    </xf>
    <xf numFmtId="9" fontId="6" fillId="3" borderId="77" xfId="1" applyFont="1" applyFill="1" applyBorder="1" applyAlignment="1">
      <alignment horizontal="right" vertical="center" wrapText="1"/>
    </xf>
    <xf numFmtId="41" fontId="2" fillId="3" borderId="0" xfId="2" applyFont="1" applyFill="1" applyBorder="1" applyAlignment="1">
      <alignment horizontal="right" vertical="center" wrapText="1"/>
    </xf>
    <xf numFmtId="9" fontId="6" fillId="3" borderId="4" xfId="1" applyFont="1" applyFill="1" applyBorder="1" applyAlignment="1">
      <alignment horizontal="right" vertical="center" wrapText="1"/>
    </xf>
    <xf numFmtId="41" fontId="2" fillId="2" borderId="4" xfId="2" applyFont="1" applyFill="1" applyBorder="1" applyAlignment="1">
      <alignment horizontal="right" vertical="center" wrapText="1"/>
    </xf>
    <xf numFmtId="41" fontId="2" fillId="2" borderId="3" xfId="2" applyFont="1" applyFill="1" applyBorder="1" applyAlignment="1">
      <alignment horizontal="right" vertical="center" wrapText="1"/>
    </xf>
    <xf numFmtId="9" fontId="6" fillId="2" borderId="0" xfId="1" applyFont="1" applyFill="1" applyBorder="1" applyAlignment="1">
      <alignment horizontal="right" vertical="center" wrapText="1"/>
    </xf>
    <xf numFmtId="9" fontId="6" fillId="2" borderId="77" xfId="1" applyFont="1" applyFill="1" applyBorder="1" applyAlignment="1">
      <alignment horizontal="right" vertical="center" wrapText="1"/>
    </xf>
    <xf numFmtId="41" fontId="2" fillId="2" borderId="0" xfId="2" applyFont="1" applyFill="1" applyBorder="1" applyAlignment="1">
      <alignment horizontal="right" vertical="center" wrapText="1"/>
    </xf>
    <xf numFmtId="9" fontId="6" fillId="2" borderId="4" xfId="1" applyFont="1" applyFill="1" applyBorder="1" applyAlignment="1">
      <alignment horizontal="right" vertical="center" wrapText="1"/>
    </xf>
    <xf numFmtId="41" fontId="4" fillId="0" borderId="4" xfId="2" applyFont="1" applyFill="1" applyBorder="1" applyAlignment="1">
      <alignment horizontal="right" vertical="center" wrapText="1"/>
    </xf>
    <xf numFmtId="41" fontId="4" fillId="0" borderId="3" xfId="2" applyFont="1" applyFill="1" applyBorder="1" applyAlignment="1">
      <alignment horizontal="right" vertical="center" wrapText="1"/>
    </xf>
    <xf numFmtId="9" fontId="6" fillId="0" borderId="0" xfId="1" applyFont="1" applyFill="1" applyBorder="1" applyAlignment="1">
      <alignment horizontal="right" vertical="center" wrapText="1"/>
    </xf>
    <xf numFmtId="9" fontId="6" fillId="0" borderId="77" xfId="1" applyFont="1" applyFill="1" applyBorder="1" applyAlignment="1">
      <alignment horizontal="right" vertical="center" wrapText="1"/>
    </xf>
    <xf numFmtId="41" fontId="4" fillId="0" borderId="0" xfId="2" applyFont="1" applyFill="1" applyBorder="1" applyAlignment="1">
      <alignment horizontal="right" vertical="center" wrapText="1"/>
    </xf>
    <xf numFmtId="9" fontId="6" fillId="0" borderId="4" xfId="1" applyFont="1" applyFill="1" applyBorder="1" applyAlignment="1">
      <alignment horizontal="right" vertical="center" wrapText="1"/>
    </xf>
    <xf numFmtId="41" fontId="4" fillId="9" borderId="3" xfId="2" applyFont="1" applyFill="1" applyBorder="1" applyAlignment="1">
      <alignment horizontal="right" vertical="center" wrapText="1"/>
    </xf>
    <xf numFmtId="9" fontId="6" fillId="9" borderId="0" xfId="1" applyFont="1" applyFill="1" applyBorder="1" applyAlignment="1">
      <alignment horizontal="right" vertical="center" wrapText="1"/>
    </xf>
    <xf numFmtId="9" fontId="6" fillId="9" borderId="77" xfId="1" applyFont="1" applyFill="1" applyBorder="1" applyAlignment="1">
      <alignment horizontal="right" vertical="center" wrapText="1"/>
    </xf>
    <xf numFmtId="41" fontId="4" fillId="9" borderId="0" xfId="2" applyFont="1" applyFill="1" applyBorder="1" applyAlignment="1">
      <alignment horizontal="right" vertical="center" wrapText="1"/>
    </xf>
    <xf numFmtId="9" fontId="6" fillId="9" borderId="4" xfId="1" applyFont="1" applyFill="1" applyBorder="1" applyAlignment="1">
      <alignment horizontal="right" vertical="center" wrapText="1"/>
    </xf>
    <xf numFmtId="180" fontId="13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4" fillId="8" borderId="83" xfId="0" applyFont="1" applyFill="1" applyBorder="1" applyAlignment="1">
      <alignment horizontal="center" vertical="center" wrapText="1"/>
    </xf>
    <xf numFmtId="0" fontId="14" fillId="8" borderId="86" xfId="0" applyFont="1" applyFill="1" applyBorder="1" applyAlignment="1">
      <alignment horizontal="center" vertical="center" wrapText="1"/>
    </xf>
    <xf numFmtId="0" fontId="14" fillId="8" borderId="88" xfId="0" applyFont="1" applyFill="1" applyBorder="1" applyAlignment="1">
      <alignment horizontal="center" vertical="center" wrapText="1"/>
    </xf>
    <xf numFmtId="180" fontId="20" fillId="2" borderId="89" xfId="2" applyNumberFormat="1" applyFont="1" applyFill="1" applyBorder="1" applyAlignment="1">
      <alignment horizontal="right" vertical="center" wrapText="1"/>
    </xf>
    <xf numFmtId="9" fontId="23" fillId="2" borderId="90" xfId="1" applyFont="1" applyFill="1" applyBorder="1" applyAlignment="1">
      <alignment horizontal="right" vertical="center" wrapText="1"/>
    </xf>
    <xf numFmtId="9" fontId="22" fillId="0" borderId="90" xfId="1" applyFont="1" applyFill="1" applyBorder="1" applyAlignment="1">
      <alignment horizontal="right" vertical="center" wrapText="1"/>
    </xf>
    <xf numFmtId="185" fontId="22" fillId="0" borderId="89" xfId="2" applyNumberFormat="1" applyFont="1" applyFill="1" applyBorder="1" applyAlignment="1">
      <alignment horizontal="right" vertical="center" wrapText="1"/>
    </xf>
    <xf numFmtId="181" fontId="24" fillId="0" borderId="89" xfId="1" applyNumberFormat="1" applyFont="1" applyFill="1" applyBorder="1" applyAlignment="1">
      <alignment horizontal="right" vertical="center" wrapText="1"/>
    </xf>
    <xf numFmtId="180" fontId="20" fillId="2" borderId="89" xfId="0" applyNumberFormat="1" applyFont="1" applyFill="1" applyBorder="1" applyAlignment="1">
      <alignment horizontal="right" vertical="center" wrapText="1"/>
    </xf>
    <xf numFmtId="181" fontId="25" fillId="2" borderId="89" xfId="1" applyNumberFormat="1" applyFont="1" applyFill="1" applyBorder="1" applyAlignment="1">
      <alignment horizontal="right" vertical="center" wrapText="1"/>
    </xf>
    <xf numFmtId="181" fontId="25" fillId="2" borderId="90" xfId="1" applyNumberFormat="1" applyFont="1" applyFill="1" applyBorder="1" applyAlignment="1">
      <alignment horizontal="right" vertical="center" wrapText="1"/>
    </xf>
    <xf numFmtId="185" fontId="22" fillId="0" borderId="89" xfId="1" applyNumberFormat="1" applyFont="1" applyFill="1" applyBorder="1" applyAlignment="1">
      <alignment horizontal="right" vertical="center" wrapText="1"/>
    </xf>
    <xf numFmtId="9" fontId="19" fillId="2" borderId="90" xfId="1" applyFont="1" applyFill="1" applyBorder="1" applyAlignment="1">
      <alignment horizontal="right" vertical="center" wrapText="1"/>
    </xf>
    <xf numFmtId="181" fontId="25" fillId="2" borderId="87" xfId="1" applyNumberFormat="1" applyFont="1" applyFill="1" applyBorder="1" applyAlignment="1">
      <alignment horizontal="right" vertical="center" wrapText="1"/>
    </xf>
    <xf numFmtId="181" fontId="25" fillId="2" borderId="91" xfId="1" applyNumberFormat="1" applyFont="1" applyFill="1" applyBorder="1" applyAlignment="1">
      <alignment horizontal="right" vertical="center" wrapText="1"/>
    </xf>
    <xf numFmtId="9" fontId="13" fillId="0" borderId="0" xfId="1" applyFont="1" applyFill="1" applyBorder="1" applyAlignment="1">
      <alignment horizontal="center" vertical="center" wrapText="1"/>
    </xf>
    <xf numFmtId="180" fontId="20" fillId="0" borderId="0" xfId="0" applyNumberFormat="1" applyFont="1" applyAlignment="1">
      <alignment horizontal="left" vertical="center" wrapText="1"/>
    </xf>
    <xf numFmtId="9" fontId="23" fillId="0" borderId="90" xfId="1" applyFont="1" applyFill="1" applyBorder="1" applyAlignment="1">
      <alignment horizontal="right" vertical="center" wrapText="1"/>
    </xf>
    <xf numFmtId="180" fontId="27" fillId="2" borderId="89" xfId="0" applyNumberFormat="1" applyFont="1" applyFill="1" applyBorder="1" applyAlignment="1">
      <alignment horizontal="right" vertical="center" wrapText="1"/>
    </xf>
    <xf numFmtId="180" fontId="20" fillId="12" borderId="89" xfId="2" applyNumberFormat="1" applyFont="1" applyFill="1" applyBorder="1" applyAlignment="1">
      <alignment horizontal="right" vertical="center" wrapText="1"/>
    </xf>
    <xf numFmtId="9" fontId="23" fillId="12" borderId="90" xfId="1" applyFont="1" applyFill="1" applyBorder="1" applyAlignment="1">
      <alignment horizontal="right" vertical="center" wrapText="1"/>
    </xf>
    <xf numFmtId="180" fontId="27" fillId="0" borderId="93" xfId="0" applyNumberFormat="1" applyFont="1" applyBorder="1" applyAlignment="1">
      <alignment horizontal="right" vertical="center" wrapText="1"/>
    </xf>
    <xf numFmtId="9" fontId="19" fillId="0" borderId="94" xfId="1" applyFont="1" applyFill="1" applyBorder="1" applyAlignment="1">
      <alignment horizontal="right" vertical="center" wrapText="1"/>
    </xf>
    <xf numFmtId="178" fontId="19" fillId="0" borderId="94" xfId="1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180" fontId="13" fillId="0" borderId="0" xfId="0" applyNumberFormat="1" applyFont="1" applyAlignment="1">
      <alignment horizontal="left" vertical="center" wrapText="1"/>
    </xf>
    <xf numFmtId="181" fontId="27" fillId="2" borderId="89" xfId="1" applyNumberFormat="1" applyFont="1" applyFill="1" applyBorder="1" applyAlignment="1">
      <alignment horizontal="right" vertical="center" wrapText="1"/>
    </xf>
    <xf numFmtId="181" fontId="27" fillId="0" borderId="87" xfId="1" applyNumberFormat="1" applyFont="1" applyFill="1" applyBorder="1" applyAlignment="1">
      <alignment horizontal="right" vertical="center" wrapText="1"/>
    </xf>
    <xf numFmtId="9" fontId="19" fillId="0" borderId="91" xfId="1" applyFont="1" applyFill="1" applyBorder="1" applyAlignment="1">
      <alignment horizontal="right" vertical="center" wrapText="1"/>
    </xf>
    <xf numFmtId="181" fontId="20" fillId="12" borderId="89" xfId="1" applyNumberFormat="1" applyFont="1" applyFill="1" applyBorder="1" applyAlignment="1">
      <alignment horizontal="right" vertical="center" wrapText="1"/>
    </xf>
    <xf numFmtId="181" fontId="23" fillId="12" borderId="90" xfId="1" applyNumberFormat="1" applyFont="1" applyFill="1" applyBorder="1" applyAlignment="1">
      <alignment horizontal="right" vertical="center" wrapText="1"/>
    </xf>
    <xf numFmtId="181" fontId="20" fillId="0" borderId="0" xfId="1" applyNumberFormat="1" applyFont="1" applyFill="1" applyBorder="1" applyAlignment="1">
      <alignment horizontal="center"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176" fontId="43" fillId="0" borderId="0" xfId="2" applyNumberFormat="1" applyFont="1">
      <alignment vertical="center"/>
    </xf>
    <xf numFmtId="0" fontId="43" fillId="0" borderId="0" xfId="0" applyFont="1">
      <alignment vertical="center"/>
    </xf>
    <xf numFmtId="0" fontId="35" fillId="7" borderId="9" xfId="0" applyFont="1" applyFill="1" applyBorder="1" applyAlignment="1">
      <alignment horizontal="center" vertical="center" wrapText="1" readingOrder="1"/>
    </xf>
    <xf numFmtId="0" fontId="8" fillId="9" borderId="9" xfId="0" applyFont="1" applyFill="1" applyBorder="1" applyAlignment="1">
      <alignment horizontal="center" vertical="center" wrapText="1" readingOrder="1"/>
    </xf>
    <xf numFmtId="0" fontId="44" fillId="9" borderId="9" xfId="0" applyFont="1" applyFill="1" applyBorder="1" applyAlignment="1">
      <alignment horizontal="center" vertical="center" wrapText="1" readingOrder="1"/>
    </xf>
    <xf numFmtId="0" fontId="8" fillId="9" borderId="10" xfId="0" applyFont="1" applyFill="1" applyBorder="1" applyAlignment="1">
      <alignment horizontal="center" vertical="center" wrapText="1" readingOrder="1"/>
    </xf>
    <xf numFmtId="0" fontId="44" fillId="9" borderId="10" xfId="0" applyFont="1" applyFill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18" fillId="0" borderId="25" xfId="0" applyFont="1" applyBorder="1">
      <alignment vertical="center"/>
    </xf>
    <xf numFmtId="0" fontId="8" fillId="0" borderId="49" xfId="0" applyFont="1" applyBorder="1" applyAlignment="1">
      <alignment horizontal="left" vertical="center" readingOrder="1"/>
    </xf>
    <xf numFmtId="0" fontId="8" fillId="0" borderId="50" xfId="0" applyFont="1" applyBorder="1" applyAlignment="1">
      <alignment horizontal="left" vertical="center" readingOrder="1"/>
    </xf>
    <xf numFmtId="0" fontId="10" fillId="0" borderId="48" xfId="0" applyFont="1" applyBorder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8" fillId="5" borderId="51" xfId="0" applyFont="1" applyFill="1" applyBorder="1">
      <alignment vertical="center"/>
    </xf>
    <xf numFmtId="0" fontId="18" fillId="0" borderId="40" xfId="0" applyFont="1" applyBorder="1">
      <alignment vertical="center"/>
    </xf>
    <xf numFmtId="182" fontId="45" fillId="7" borderId="9" xfId="0" applyNumberFormat="1" applyFont="1" applyFill="1" applyBorder="1" applyAlignment="1">
      <alignment horizontal="right" vertical="center" wrapText="1" readingOrder="1"/>
    </xf>
    <xf numFmtId="0" fontId="46" fillId="0" borderId="9" xfId="0" applyFont="1" applyBorder="1" applyAlignment="1">
      <alignment horizontal="center" vertical="center" wrapText="1"/>
    </xf>
    <xf numFmtId="181" fontId="46" fillId="0" borderId="9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 readingOrder="1"/>
    </xf>
    <xf numFmtId="184" fontId="15" fillId="0" borderId="9" xfId="0" applyNumberFormat="1" applyFont="1" applyBorder="1" applyAlignment="1">
      <alignment horizontal="right" vertical="center" wrapText="1" readingOrder="1"/>
    </xf>
    <xf numFmtId="181" fontId="15" fillId="0" borderId="9" xfId="0" applyNumberFormat="1" applyFont="1" applyBorder="1" applyAlignment="1">
      <alignment horizontal="right" vertical="center" wrapText="1" readingOrder="1"/>
    </xf>
    <xf numFmtId="181" fontId="15" fillId="0" borderId="9" xfId="0" applyNumberFormat="1" applyFont="1" applyBorder="1" applyAlignment="1">
      <alignment vertical="center" wrapText="1" readingOrder="1"/>
    </xf>
    <xf numFmtId="183" fontId="15" fillId="0" borderId="9" xfId="0" applyNumberFormat="1" applyFont="1" applyBorder="1" applyAlignment="1">
      <alignment horizontal="right" vertical="center" wrapText="1" readingOrder="1"/>
    </xf>
    <xf numFmtId="0" fontId="15" fillId="0" borderId="9" xfId="0" applyFont="1" applyBorder="1" applyAlignment="1">
      <alignment horizontal="right" vertical="center" wrapText="1" readingOrder="1"/>
    </xf>
    <xf numFmtId="181" fontId="47" fillId="11" borderId="10" xfId="0" applyNumberFormat="1" applyFont="1" applyFill="1" applyBorder="1" applyAlignment="1">
      <alignment horizontal="right" vertical="center" wrapText="1" readingOrder="1"/>
    </xf>
    <xf numFmtId="181" fontId="47" fillId="0" borderId="9" xfId="0" applyNumberFormat="1" applyFont="1" applyBorder="1" applyAlignment="1">
      <alignment horizontal="right" vertical="center" wrapText="1" readingOrder="1"/>
    </xf>
    <xf numFmtId="181" fontId="47" fillId="7" borderId="9" xfId="0" applyNumberFormat="1" applyFont="1" applyFill="1" applyBorder="1" applyAlignment="1">
      <alignment horizontal="right" vertical="center" wrapText="1" readingOrder="1"/>
    </xf>
    <xf numFmtId="181" fontId="47" fillId="4" borderId="9" xfId="0" applyNumberFormat="1" applyFont="1" applyFill="1" applyBorder="1" applyAlignment="1">
      <alignment horizontal="right" vertical="center" wrapText="1" readingOrder="1"/>
    </xf>
    <xf numFmtId="181" fontId="47" fillId="0" borderId="11" xfId="0" applyNumberFormat="1" applyFont="1" applyBorder="1" applyAlignment="1">
      <alignment horizontal="right" vertical="center" wrapText="1" readingOrder="1"/>
    </xf>
    <xf numFmtId="182" fontId="15" fillId="9" borderId="9" xfId="0" applyNumberFormat="1" applyFont="1" applyFill="1" applyBorder="1" applyAlignment="1">
      <alignment horizontal="right" vertical="center" wrapText="1" readingOrder="1"/>
    </xf>
    <xf numFmtId="182" fontId="15" fillId="9" borderId="10" xfId="0" applyNumberFormat="1" applyFont="1" applyFill="1" applyBorder="1" applyAlignment="1">
      <alignment horizontal="right" vertical="center" wrapText="1" readingOrder="1"/>
    </xf>
    <xf numFmtId="182" fontId="15" fillId="0" borderId="9" xfId="0" applyNumberFormat="1" applyFont="1" applyBorder="1" applyAlignment="1">
      <alignment horizontal="right" vertical="center" wrapText="1" readingOrder="1"/>
    </xf>
    <xf numFmtId="0" fontId="48" fillId="0" borderId="0" xfId="0" applyFont="1">
      <alignment vertical="center"/>
    </xf>
    <xf numFmtId="183" fontId="45" fillId="7" borderId="9" xfId="0" applyNumberFormat="1" applyFont="1" applyFill="1" applyBorder="1" applyAlignment="1">
      <alignment horizontal="right" vertical="center" wrapText="1" readingOrder="1"/>
    </xf>
    <xf numFmtId="183" fontId="45" fillId="0" borderId="9" xfId="0" applyNumberFormat="1" applyFont="1" applyBorder="1" applyAlignment="1">
      <alignment horizontal="right" vertical="center" wrapText="1" readingOrder="1"/>
    </xf>
    <xf numFmtId="0" fontId="45" fillId="6" borderId="9" xfId="0" applyFont="1" applyFill="1" applyBorder="1" applyAlignment="1">
      <alignment horizontal="center" vertical="center" wrapText="1" readingOrder="1"/>
    </xf>
    <xf numFmtId="183" fontId="45" fillId="6" borderId="9" xfId="0" applyNumberFormat="1" applyFont="1" applyFill="1" applyBorder="1" applyAlignment="1">
      <alignment horizontal="right" vertical="center" wrapText="1" readingOrder="1"/>
    </xf>
    <xf numFmtId="0" fontId="45" fillId="0" borderId="9" xfId="0" applyFont="1" applyBorder="1" applyAlignment="1">
      <alignment vertical="center" wrapText="1" readingOrder="1"/>
    </xf>
    <xf numFmtId="0" fontId="45" fillId="7" borderId="9" xfId="0" applyFont="1" applyFill="1" applyBorder="1" applyAlignment="1">
      <alignment horizontal="center" vertical="center" wrapText="1" readingOrder="1"/>
    </xf>
    <xf numFmtId="181" fontId="45" fillId="7" borderId="9" xfId="0" applyNumberFormat="1" applyFont="1" applyFill="1" applyBorder="1" applyAlignment="1">
      <alignment horizontal="right" vertical="center" wrapText="1" readingOrder="1"/>
    </xf>
    <xf numFmtId="0" fontId="45" fillId="0" borderId="9" xfId="0" applyFont="1" applyBorder="1" applyAlignment="1">
      <alignment horizontal="center" vertical="center" wrapText="1" readingOrder="1"/>
    </xf>
    <xf numFmtId="0" fontId="49" fillId="0" borderId="0" xfId="0" applyFont="1">
      <alignment vertical="center"/>
    </xf>
    <xf numFmtId="0" fontId="45" fillId="0" borderId="10" xfId="0" applyFont="1" applyBorder="1" applyAlignment="1">
      <alignment horizontal="center" vertical="center" wrapText="1" readingOrder="1"/>
    </xf>
    <xf numFmtId="181" fontId="45" fillId="0" borderId="10" xfId="0" applyNumberFormat="1" applyFont="1" applyBorder="1" applyAlignment="1">
      <alignment horizontal="right" vertical="center" wrapText="1" readingOrder="1"/>
    </xf>
    <xf numFmtId="0" fontId="46" fillId="0" borderId="47" xfId="0" applyFont="1" applyBorder="1">
      <alignment vertical="center"/>
    </xf>
    <xf numFmtId="0" fontId="46" fillId="0" borderId="25" xfId="0" applyFont="1" applyBorder="1">
      <alignment vertical="center"/>
    </xf>
    <xf numFmtId="0" fontId="46" fillId="0" borderId="21" xfId="0" applyFont="1" applyBorder="1">
      <alignment vertical="center"/>
    </xf>
    <xf numFmtId="9" fontId="49" fillId="0" borderId="0" xfId="1" applyFont="1">
      <alignment vertical="center"/>
    </xf>
    <xf numFmtId="0" fontId="46" fillId="4" borderId="35" xfId="0" applyFont="1" applyFill="1" applyBorder="1">
      <alignment vertical="center"/>
    </xf>
    <xf numFmtId="0" fontId="46" fillId="4" borderId="37" xfId="0" applyFont="1" applyFill="1" applyBorder="1">
      <alignment vertical="center"/>
    </xf>
    <xf numFmtId="0" fontId="46" fillId="4" borderId="40" xfId="0" applyFont="1" applyFill="1" applyBorder="1">
      <alignment vertical="center"/>
    </xf>
    <xf numFmtId="0" fontId="46" fillId="11" borderId="41" xfId="0" applyFont="1" applyFill="1" applyBorder="1">
      <alignment vertical="center"/>
    </xf>
    <xf numFmtId="0" fontId="46" fillId="11" borderId="42" xfId="0" applyFont="1" applyFill="1" applyBorder="1">
      <alignment vertical="center"/>
    </xf>
    <xf numFmtId="183" fontId="17" fillId="0" borderId="0" xfId="0" applyNumberFormat="1" applyFont="1">
      <alignment vertical="center"/>
    </xf>
    <xf numFmtId="180" fontId="45" fillId="0" borderId="26" xfId="0" applyNumberFormat="1" applyFont="1" applyBorder="1" applyAlignment="1">
      <alignment horizontal="right" vertical="center" wrapText="1" readingOrder="1"/>
    </xf>
    <xf numFmtId="180" fontId="15" fillId="0" borderId="29" xfId="0" applyNumberFormat="1" applyFont="1" applyBorder="1" applyAlignment="1">
      <alignment horizontal="right" vertical="center" wrapText="1" readingOrder="1"/>
    </xf>
    <xf numFmtId="180" fontId="15" fillId="0" borderId="32" xfId="0" applyNumberFormat="1" applyFont="1" applyBorder="1" applyAlignment="1">
      <alignment horizontal="right" vertical="center" wrapText="1" readingOrder="1"/>
    </xf>
    <xf numFmtId="180" fontId="15" fillId="0" borderId="34" xfId="0" applyNumberFormat="1" applyFont="1" applyBorder="1" applyAlignment="1">
      <alignment horizontal="right" vertical="center" wrapText="1" readingOrder="1"/>
    </xf>
    <xf numFmtId="180" fontId="15" fillId="0" borderId="9" xfId="0" applyNumberFormat="1" applyFont="1" applyBorder="1" applyAlignment="1">
      <alignment horizontal="right" vertical="center" wrapText="1" readingOrder="1"/>
    </xf>
    <xf numFmtId="180" fontId="45" fillId="4" borderId="29" xfId="0" applyNumberFormat="1" applyFont="1" applyFill="1" applyBorder="1" applyAlignment="1">
      <alignment horizontal="right" vertical="center" wrapText="1" readingOrder="1"/>
    </xf>
    <xf numFmtId="180" fontId="15" fillId="5" borderId="34" xfId="0" applyNumberFormat="1" applyFont="1" applyFill="1" applyBorder="1" applyAlignment="1">
      <alignment horizontal="right" vertical="center" wrapText="1" readingOrder="1"/>
    </xf>
    <xf numFmtId="180" fontId="15" fillId="0" borderId="26" xfId="0" applyNumberFormat="1" applyFont="1" applyBorder="1" applyAlignment="1">
      <alignment horizontal="right" vertical="center" wrapText="1" readingOrder="1"/>
    </xf>
    <xf numFmtId="180" fontId="15" fillId="5" borderId="32" xfId="0" applyNumberFormat="1" applyFont="1" applyFill="1" applyBorder="1" applyAlignment="1">
      <alignment horizontal="right" vertical="center" wrapText="1" readingOrder="1"/>
    </xf>
    <xf numFmtId="180" fontId="45" fillId="4" borderId="32" xfId="0" applyNumberFormat="1" applyFont="1" applyFill="1" applyBorder="1" applyAlignment="1">
      <alignment horizontal="right" vertical="center" wrapText="1" readingOrder="1"/>
    </xf>
    <xf numFmtId="180" fontId="45" fillId="11" borderId="44" xfId="0" applyNumberFormat="1" applyFont="1" applyFill="1" applyBorder="1" applyAlignment="1">
      <alignment horizontal="right" vertical="center" wrapText="1" readingOrder="1"/>
    </xf>
    <xf numFmtId="182" fontId="45" fillId="11" borderId="12" xfId="0" applyNumberFormat="1" applyFont="1" applyFill="1" applyBorder="1" applyAlignment="1">
      <alignment horizontal="right" vertical="center" wrapText="1" readingOrder="1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right" vertical="center" wrapText="1"/>
    </xf>
    <xf numFmtId="179" fontId="6" fillId="0" borderId="53" xfId="0" applyNumberFormat="1" applyFont="1" applyBorder="1" applyAlignment="1">
      <alignment horizontal="center" vertical="center"/>
    </xf>
    <xf numFmtId="179" fontId="6" fillId="0" borderId="84" xfId="0" applyNumberFormat="1" applyFont="1" applyBorder="1" applyAlignment="1">
      <alignment horizontal="center" vertical="center"/>
    </xf>
    <xf numFmtId="184" fontId="6" fillId="0" borderId="57" xfId="0" applyNumberFormat="1" applyFont="1" applyBorder="1" applyAlignment="1">
      <alignment horizontal="right" vertical="center" wrapText="1"/>
    </xf>
    <xf numFmtId="184" fontId="6" fillId="0" borderId="60" xfId="0" applyNumberFormat="1" applyFont="1" applyBorder="1" applyAlignment="1">
      <alignment horizontal="right" vertical="center" wrapText="1"/>
    </xf>
    <xf numFmtId="0" fontId="6" fillId="2" borderId="84" xfId="0" applyFont="1" applyFill="1" applyBorder="1" applyAlignment="1">
      <alignment horizontal="center" vertical="center" wrapText="1"/>
    </xf>
    <xf numFmtId="179" fontId="4" fillId="0" borderId="53" xfId="0" applyNumberFormat="1" applyFont="1" applyBorder="1" applyAlignment="1">
      <alignment horizontal="center" vertical="center"/>
    </xf>
    <xf numFmtId="179" fontId="4" fillId="0" borderId="84" xfId="0" applyNumberFormat="1" applyFont="1" applyBorder="1" applyAlignment="1">
      <alignment horizontal="center" vertical="center" wrapText="1"/>
    </xf>
    <xf numFmtId="184" fontId="4" fillId="0" borderId="57" xfId="0" applyNumberFormat="1" applyFont="1" applyBorder="1" applyAlignment="1">
      <alignment horizontal="right" vertical="center" wrapText="1"/>
    </xf>
    <xf numFmtId="184" fontId="4" fillId="0" borderId="60" xfId="0" applyNumberFormat="1" applyFont="1" applyBorder="1" applyAlignment="1">
      <alignment horizontal="right" vertical="center" wrapText="1"/>
    </xf>
    <xf numFmtId="184" fontId="4" fillId="0" borderId="0" xfId="0" applyNumberFormat="1" applyFont="1" applyAlignment="1">
      <alignment horizontal="right" vertical="center" wrapText="1"/>
    </xf>
    <xf numFmtId="184" fontId="4" fillId="0" borderId="64" xfId="0" applyNumberFormat="1" applyFont="1" applyBorder="1" applyAlignment="1">
      <alignment horizontal="right" vertical="center" wrapText="1"/>
    </xf>
    <xf numFmtId="9" fontId="50" fillId="0" borderId="0" xfId="1" applyFont="1" applyFill="1" applyBorder="1" applyAlignment="1">
      <alignment horizontal="right" vertical="center" wrapText="1"/>
    </xf>
    <xf numFmtId="9" fontId="50" fillId="0" borderId="60" xfId="1" applyFont="1" applyFill="1" applyBorder="1" applyAlignment="1">
      <alignment horizontal="right" vertical="center" wrapText="1"/>
    </xf>
    <xf numFmtId="184" fontId="4" fillId="0" borderId="71" xfId="0" applyNumberFormat="1" applyFont="1" applyBorder="1" applyAlignment="1">
      <alignment horizontal="right" vertical="center" wrapText="1"/>
    </xf>
    <xf numFmtId="9" fontId="50" fillId="0" borderId="65" xfId="1" applyFont="1" applyFill="1" applyBorder="1" applyAlignment="1">
      <alignment horizontal="right" vertical="center" wrapText="1"/>
    </xf>
    <xf numFmtId="179" fontId="50" fillId="0" borderId="0" xfId="0" applyNumberFormat="1" applyFont="1">
      <alignment vertical="center"/>
    </xf>
    <xf numFmtId="176" fontId="6" fillId="0" borderId="0" xfId="2" applyNumberFormat="1" applyFont="1" applyFill="1" applyBorder="1" applyAlignment="1">
      <alignment horizontal="right" vertical="center"/>
    </xf>
    <xf numFmtId="181" fontId="6" fillId="0" borderId="0" xfId="1" applyNumberFormat="1" applyFont="1" applyFill="1" applyBorder="1">
      <alignment vertical="center"/>
    </xf>
    <xf numFmtId="179" fontId="28" fillId="0" borderId="0" xfId="1" applyNumberFormat="1" applyFont="1" applyFill="1" applyBorder="1" applyAlignment="1">
      <alignment horizontal="right" vertical="center"/>
    </xf>
    <xf numFmtId="9" fontId="6" fillId="0" borderId="90" xfId="1" applyFont="1" applyFill="1" applyBorder="1" applyAlignment="1">
      <alignment horizontal="right" vertical="center" wrapText="1"/>
    </xf>
    <xf numFmtId="9" fontId="6" fillId="0" borderId="0" xfId="1" applyFont="1" applyFill="1" applyBorder="1" applyAlignment="1">
      <alignment horizontal="right" vertical="center"/>
    </xf>
    <xf numFmtId="180" fontId="6" fillId="0" borderId="89" xfId="0" applyNumberFormat="1" applyFont="1" applyBorder="1" applyAlignment="1">
      <alignment horizontal="right" vertical="center" wrapText="1"/>
    </xf>
    <xf numFmtId="185" fontId="6" fillId="0" borderId="89" xfId="0" applyNumberFormat="1" applyFont="1" applyBorder="1" applyAlignment="1">
      <alignment horizontal="right" vertical="center" wrapText="1"/>
    </xf>
    <xf numFmtId="180" fontId="6" fillId="0" borderId="0" xfId="0" applyNumberFormat="1" applyFont="1" applyAlignment="1">
      <alignment horizontal="center" vertical="center"/>
    </xf>
    <xf numFmtId="179" fontId="6" fillId="0" borderId="0" xfId="1" applyNumberFormat="1" applyFont="1" applyFill="1" applyBorder="1" applyAlignment="1">
      <alignment horizontal="right" vertical="center"/>
    </xf>
    <xf numFmtId="179" fontId="6" fillId="0" borderId="0" xfId="0" applyNumberFormat="1" applyFont="1">
      <alignment vertical="center"/>
    </xf>
    <xf numFmtId="179" fontId="6" fillId="0" borderId="89" xfId="0" applyNumberFormat="1" applyFont="1" applyBorder="1" applyAlignment="1">
      <alignment horizontal="right" vertical="center" wrapText="1"/>
    </xf>
    <xf numFmtId="0" fontId="6" fillId="2" borderId="53" xfId="0" applyFont="1" applyFill="1" applyBorder="1" applyAlignment="1">
      <alignment horizontal="center" vertical="center" wrapText="1"/>
    </xf>
    <xf numFmtId="180" fontId="6" fillId="2" borderId="89" xfId="0" applyNumberFormat="1" applyFont="1" applyFill="1" applyBorder="1" applyAlignment="1">
      <alignment horizontal="right" vertical="center" wrapText="1"/>
    </xf>
    <xf numFmtId="9" fontId="6" fillId="2" borderId="90" xfId="1" applyFont="1" applyFill="1" applyBorder="1" applyAlignment="1">
      <alignment horizontal="right" vertical="center" wrapText="1"/>
    </xf>
    <xf numFmtId="41" fontId="6" fillId="0" borderId="64" xfId="2" applyFont="1" applyBorder="1" applyAlignment="1">
      <alignment horizontal="right" vertical="center" wrapText="1"/>
    </xf>
    <xf numFmtId="41" fontId="6" fillId="0" borderId="0" xfId="2" applyFont="1" applyFill="1" applyBorder="1" applyAlignment="1">
      <alignment horizontal="right" vertical="center" wrapText="1"/>
    </xf>
    <xf numFmtId="41" fontId="6" fillId="0" borderId="60" xfId="2" applyFont="1" applyFill="1" applyBorder="1" applyAlignment="1">
      <alignment horizontal="right" vertical="center" wrapText="1"/>
    </xf>
    <xf numFmtId="41" fontId="6" fillId="0" borderId="71" xfId="2" applyFont="1" applyBorder="1" applyAlignment="1">
      <alignment horizontal="right" vertical="center" wrapText="1"/>
    </xf>
    <xf numFmtId="41" fontId="6" fillId="0" borderId="65" xfId="2" applyFont="1" applyFill="1" applyBorder="1" applyAlignment="1">
      <alignment horizontal="right" vertical="center" wrapText="1"/>
    </xf>
    <xf numFmtId="184" fontId="6" fillId="0" borderId="64" xfId="0" applyNumberFormat="1" applyFont="1" applyBorder="1" applyAlignment="1">
      <alignment horizontal="right" vertical="center" wrapText="1"/>
    </xf>
    <xf numFmtId="180" fontId="6" fillId="0" borderId="71" xfId="0" applyNumberFormat="1" applyFont="1" applyBorder="1" applyAlignment="1">
      <alignment horizontal="right" vertical="center" wrapText="1"/>
    </xf>
    <xf numFmtId="9" fontId="6" fillId="0" borderId="60" xfId="1" applyFont="1" applyFill="1" applyBorder="1" applyAlignment="1">
      <alignment horizontal="right" vertical="center" wrapText="1"/>
    </xf>
    <xf numFmtId="184" fontId="6" fillId="0" borderId="71" xfId="0" applyNumberFormat="1" applyFont="1" applyBorder="1" applyAlignment="1">
      <alignment horizontal="right" vertical="center" wrapText="1"/>
    </xf>
    <xf numFmtId="9" fontId="6" fillId="0" borderId="65" xfId="1" applyFont="1" applyFill="1" applyBorder="1" applyAlignment="1">
      <alignment horizontal="right" vertical="center" wrapText="1"/>
    </xf>
    <xf numFmtId="184" fontId="6" fillId="0" borderId="0" xfId="0" applyNumberFormat="1" applyFont="1" applyAlignment="1">
      <alignment horizontal="right" vertical="center" wrapText="1"/>
    </xf>
    <xf numFmtId="184" fontId="6" fillId="2" borderId="57" xfId="0" applyNumberFormat="1" applyFont="1" applyFill="1" applyBorder="1" applyAlignment="1">
      <alignment horizontal="right" vertical="center" wrapText="1"/>
    </xf>
    <xf numFmtId="184" fontId="6" fillId="2" borderId="60" xfId="0" applyNumberFormat="1" applyFont="1" applyFill="1" applyBorder="1" applyAlignment="1">
      <alignment horizontal="right" vertical="center" wrapText="1"/>
    </xf>
    <xf numFmtId="184" fontId="6" fillId="2" borderId="0" xfId="0" applyNumberFormat="1" applyFont="1" applyFill="1" applyAlignment="1">
      <alignment horizontal="right" vertical="center" wrapText="1"/>
    </xf>
    <xf numFmtId="184" fontId="6" fillId="2" borderId="64" xfId="0" applyNumberFormat="1" applyFont="1" applyFill="1" applyBorder="1" applyAlignment="1">
      <alignment horizontal="right" vertical="center" wrapText="1"/>
    </xf>
    <xf numFmtId="181" fontId="27" fillId="0" borderId="96" xfId="1" applyNumberFormat="1" applyFont="1" applyBorder="1" applyAlignment="1">
      <alignment horizontal="right" vertical="center" wrapText="1"/>
    </xf>
    <xf numFmtId="181" fontId="27" fillId="0" borderId="97" xfId="1" applyNumberFormat="1" applyFont="1" applyBorder="1" applyAlignment="1">
      <alignment horizontal="right" vertical="center" wrapText="1"/>
    </xf>
    <xf numFmtId="181" fontId="27" fillId="0" borderId="95" xfId="1" applyNumberFormat="1" applyFont="1" applyBorder="1" applyAlignment="1">
      <alignment horizontal="right" vertical="center" wrapText="1"/>
    </xf>
    <xf numFmtId="181" fontId="27" fillId="0" borderId="98" xfId="1" applyNumberFormat="1" applyFont="1" applyBorder="1" applyAlignment="1">
      <alignment horizontal="right" vertical="center" wrapText="1"/>
    </xf>
    <xf numFmtId="186" fontId="4" fillId="0" borderId="3" xfId="2" applyNumberFormat="1" applyFont="1" applyFill="1" applyBorder="1" applyAlignment="1">
      <alignment horizontal="right" vertical="center" wrapText="1"/>
    </xf>
    <xf numFmtId="41" fontId="4" fillId="9" borderId="6" xfId="2" applyFont="1" applyFill="1" applyBorder="1" applyAlignment="1">
      <alignment horizontal="right" vertical="center" wrapText="1"/>
    </xf>
    <xf numFmtId="49" fontId="5" fillId="0" borderId="0" xfId="0" applyNumberFormat="1" applyFont="1" applyAlignment="1">
      <alignment horizontal="centerContinuous" vertical="center" wrapText="1"/>
    </xf>
    <xf numFmtId="0" fontId="6" fillId="0" borderId="0" xfId="0" applyFont="1" applyAlignment="1">
      <alignment horizontal="right" vertical="center" wrapText="1"/>
    </xf>
    <xf numFmtId="178" fontId="13" fillId="0" borderId="0" xfId="1" applyNumberFormat="1" applyFont="1" applyFill="1" applyBorder="1" applyAlignment="1">
      <alignment horizontal="left" vertical="center"/>
    </xf>
    <xf numFmtId="186" fontId="22" fillId="7" borderId="89" xfId="2" applyNumberFormat="1" applyFont="1" applyFill="1" applyBorder="1" applyAlignment="1">
      <alignment horizontal="right" vertical="center" wrapText="1"/>
    </xf>
    <xf numFmtId="186" fontId="21" fillId="9" borderId="89" xfId="1" applyNumberFormat="1" applyFont="1" applyFill="1" applyBorder="1" applyAlignment="1">
      <alignment horizontal="right" vertical="center" wrapText="1"/>
    </xf>
    <xf numFmtId="186" fontId="21" fillId="7" borderId="89" xfId="1" applyNumberFormat="1" applyFont="1" applyFill="1" applyBorder="1" applyAlignment="1">
      <alignment horizontal="right" vertical="center" wrapText="1"/>
    </xf>
    <xf numFmtId="186" fontId="22" fillId="0" borderId="89" xfId="1" applyNumberFormat="1" applyFont="1" applyFill="1" applyBorder="1" applyAlignment="1">
      <alignment horizontal="right" vertical="center" wrapText="1"/>
    </xf>
    <xf numFmtId="186" fontId="21" fillId="9" borderId="87" xfId="1" applyNumberFormat="1" applyFont="1" applyFill="1" applyBorder="1" applyAlignment="1">
      <alignment horizontal="right" vertical="center" wrapText="1"/>
    </xf>
    <xf numFmtId="186" fontId="13" fillId="0" borderId="0" xfId="0" applyNumberFormat="1" applyFont="1">
      <alignment vertical="center"/>
    </xf>
    <xf numFmtId="41" fontId="20" fillId="9" borderId="84" xfId="2" applyFont="1" applyFill="1" applyBorder="1">
      <alignment vertical="center"/>
    </xf>
    <xf numFmtId="41" fontId="20" fillId="7" borderId="84" xfId="2" applyFont="1" applyFill="1" applyBorder="1">
      <alignment vertical="center"/>
    </xf>
    <xf numFmtId="41" fontId="13" fillId="0" borderId="84" xfId="2" applyFont="1" applyFill="1" applyBorder="1">
      <alignment vertical="center"/>
    </xf>
    <xf numFmtId="41" fontId="13" fillId="0" borderId="84" xfId="2" applyFont="1" applyFill="1" applyBorder="1" applyAlignment="1">
      <alignment vertical="center" wrapText="1"/>
    </xf>
    <xf numFmtId="41" fontId="20" fillId="7" borderId="84" xfId="2" applyFont="1" applyFill="1" applyBorder="1" applyAlignment="1">
      <alignment vertical="center" wrapText="1"/>
    </xf>
    <xf numFmtId="41" fontId="20" fillId="9" borderId="85" xfId="2" applyFont="1" applyFill="1" applyBorder="1">
      <alignment vertical="center"/>
    </xf>
    <xf numFmtId="0" fontId="14" fillId="8" borderId="102" xfId="0" applyFont="1" applyFill="1" applyBorder="1" applyAlignment="1">
      <alignment horizontal="left" vertical="center"/>
    </xf>
    <xf numFmtId="0" fontId="14" fillId="8" borderId="103" xfId="0" applyFont="1" applyFill="1" applyBorder="1" applyAlignment="1">
      <alignment horizontal="center" vertical="center"/>
    </xf>
    <xf numFmtId="0" fontId="20" fillId="9" borderId="89" xfId="0" applyFont="1" applyFill="1" applyBorder="1" applyAlignment="1">
      <alignment horizontal="left" vertical="center"/>
    </xf>
    <xf numFmtId="0" fontId="20" fillId="9" borderId="90" xfId="0" applyFont="1" applyFill="1" applyBorder="1">
      <alignment vertical="center"/>
    </xf>
    <xf numFmtId="0" fontId="20" fillId="7" borderId="89" xfId="0" applyFont="1" applyFill="1" applyBorder="1" applyAlignment="1">
      <alignment horizontal="left" vertical="center"/>
    </xf>
    <xf numFmtId="0" fontId="20" fillId="7" borderId="90" xfId="0" applyFont="1" applyFill="1" applyBorder="1">
      <alignment vertical="center"/>
    </xf>
    <xf numFmtId="0" fontId="13" fillId="0" borderId="89" xfId="0" applyFont="1" applyBorder="1" applyAlignment="1">
      <alignment horizontal="left" vertical="center"/>
    </xf>
    <xf numFmtId="0" fontId="13" fillId="0" borderId="90" xfId="0" applyFont="1" applyBorder="1">
      <alignment vertical="center"/>
    </xf>
    <xf numFmtId="0" fontId="20" fillId="9" borderId="87" xfId="0" applyFont="1" applyFill="1" applyBorder="1" applyAlignment="1">
      <alignment horizontal="left" vertical="center"/>
    </xf>
    <xf numFmtId="0" fontId="20" fillId="9" borderId="91" xfId="0" applyFont="1" applyFill="1" applyBorder="1">
      <alignment vertical="center"/>
    </xf>
    <xf numFmtId="41" fontId="4" fillId="0" borderId="0" xfId="2" applyFont="1" applyFill="1" applyBorder="1" applyAlignment="1">
      <alignment horizontal="left" vertical="center"/>
    </xf>
    <xf numFmtId="0" fontId="51" fillId="0" borderId="9" xfId="0" applyFont="1" applyBorder="1" applyAlignment="1">
      <alignment horizontal="center" vertical="center" wrapText="1" readingOrder="1"/>
    </xf>
    <xf numFmtId="183" fontId="15" fillId="11" borderId="12" xfId="0" applyNumberFormat="1" applyFont="1" applyFill="1" applyBorder="1" applyAlignment="1">
      <alignment horizontal="right" vertical="center" wrapText="1" readingOrder="1"/>
    </xf>
    <xf numFmtId="177" fontId="15" fillId="7" borderId="9" xfId="0" applyNumberFormat="1" applyFont="1" applyFill="1" applyBorder="1" applyAlignment="1">
      <alignment horizontal="right" vertical="center" wrapText="1" readingOrder="1"/>
    </xf>
    <xf numFmtId="183" fontId="15" fillId="7" borderId="9" xfId="0" applyNumberFormat="1" applyFont="1" applyFill="1" applyBorder="1" applyAlignment="1">
      <alignment horizontal="right" vertical="center" wrapText="1" readingOrder="1"/>
    </xf>
    <xf numFmtId="41" fontId="5" fillId="0" borderId="0" xfId="2" applyFont="1" applyFill="1" applyBorder="1" applyAlignment="1">
      <alignment horizontal="right" vertical="center"/>
    </xf>
    <xf numFmtId="41" fontId="19" fillId="0" borderId="0" xfId="2" applyFont="1" applyFill="1" applyBorder="1" applyAlignment="1">
      <alignment horizontal="right" vertical="center"/>
    </xf>
    <xf numFmtId="41" fontId="20" fillId="0" borderId="0" xfId="2" applyFont="1">
      <alignment vertical="center"/>
    </xf>
    <xf numFmtId="41" fontId="23" fillId="0" borderId="0" xfId="2" applyFont="1" applyFill="1" applyBorder="1" applyAlignment="1">
      <alignment horizontal="right" vertical="center"/>
    </xf>
    <xf numFmtId="187" fontId="17" fillId="0" borderId="0" xfId="0" applyNumberFormat="1" applyFont="1">
      <alignment vertical="center"/>
    </xf>
    <xf numFmtId="187" fontId="45" fillId="6" borderId="9" xfId="0" applyNumberFormat="1" applyFont="1" applyFill="1" applyBorder="1" applyAlignment="1">
      <alignment horizontal="right" vertical="center" wrapText="1" readingOrder="1"/>
    </xf>
    <xf numFmtId="187" fontId="15" fillId="0" borderId="9" xfId="0" applyNumberFormat="1" applyFont="1" applyBorder="1" applyAlignment="1">
      <alignment horizontal="right" vertical="center" wrapText="1" readingOrder="1"/>
    </xf>
    <xf numFmtId="187" fontId="45" fillId="7" borderId="9" xfId="0" applyNumberFormat="1" applyFont="1" applyFill="1" applyBorder="1" applyAlignment="1">
      <alignment horizontal="right" vertical="center" wrapText="1" readingOrder="1"/>
    </xf>
    <xf numFmtId="187" fontId="15" fillId="0" borderId="9" xfId="1" applyNumberFormat="1" applyFont="1" applyBorder="1" applyAlignment="1">
      <alignment horizontal="right" vertical="center" wrapText="1" readingOrder="1"/>
    </xf>
    <xf numFmtId="187" fontId="45" fillId="0" borderId="9" xfId="0" applyNumberFormat="1" applyFont="1" applyBorder="1" applyAlignment="1">
      <alignment horizontal="right" vertical="center" wrapText="1" readingOrder="1"/>
    </xf>
    <xf numFmtId="188" fontId="15" fillId="0" borderId="9" xfId="0" applyNumberFormat="1" applyFont="1" applyBorder="1" applyAlignment="1">
      <alignment horizontal="right" vertical="center" wrapText="1" readingOrder="1"/>
    </xf>
    <xf numFmtId="188" fontId="45" fillId="7" borderId="9" xfId="0" applyNumberFormat="1" applyFont="1" applyFill="1" applyBorder="1" applyAlignment="1">
      <alignment horizontal="right" vertical="center" wrapText="1" readingOrder="1"/>
    </xf>
    <xf numFmtId="188" fontId="45" fillId="0" borderId="10" xfId="0" applyNumberFormat="1" applyFont="1" applyBorder="1" applyAlignment="1">
      <alignment horizontal="right" vertical="center" wrapText="1" readingOrder="1"/>
    </xf>
    <xf numFmtId="187" fontId="15" fillId="9" borderId="9" xfId="0" applyNumberFormat="1" applyFont="1" applyFill="1" applyBorder="1" applyAlignment="1">
      <alignment horizontal="right" vertical="center" wrapText="1" readingOrder="1"/>
    </xf>
    <xf numFmtId="187" fontId="15" fillId="9" borderId="10" xfId="0" applyNumberFormat="1" applyFont="1" applyFill="1" applyBorder="1" applyAlignment="1">
      <alignment horizontal="right" vertical="center" wrapText="1" readingOrder="1"/>
    </xf>
    <xf numFmtId="187" fontId="34" fillId="10" borderId="8" xfId="0" applyNumberFormat="1" applyFont="1" applyFill="1" applyBorder="1" applyAlignment="1">
      <alignment horizontal="center" vertical="center" wrapText="1" readingOrder="1"/>
    </xf>
    <xf numFmtId="187" fontId="45" fillId="11" borderId="12" xfId="0" applyNumberFormat="1" applyFont="1" applyFill="1" applyBorder="1" applyAlignment="1">
      <alignment horizontal="right" vertical="center" wrapText="1" readingOrder="1"/>
    </xf>
    <xf numFmtId="187" fontId="42" fillId="0" borderId="0" xfId="0" applyNumberFormat="1" applyFont="1">
      <alignment vertical="center"/>
    </xf>
    <xf numFmtId="187" fontId="15" fillId="11" borderId="12" xfId="0" applyNumberFormat="1" applyFont="1" applyFill="1" applyBorder="1" applyAlignment="1">
      <alignment horizontal="right" vertical="center" wrapText="1" readingOrder="1"/>
    </xf>
    <xf numFmtId="187" fontId="47" fillId="11" borderId="10" xfId="0" applyNumberFormat="1" applyFont="1" applyFill="1" applyBorder="1" applyAlignment="1">
      <alignment horizontal="right" vertical="center" wrapText="1" readingOrder="1"/>
    </xf>
    <xf numFmtId="187" fontId="15" fillId="7" borderId="9" xfId="0" applyNumberFormat="1" applyFont="1" applyFill="1" applyBorder="1" applyAlignment="1">
      <alignment horizontal="right" vertical="center" wrapText="1" readingOrder="1"/>
    </xf>
    <xf numFmtId="187" fontId="47" fillId="7" borderId="9" xfId="0" applyNumberFormat="1" applyFont="1" applyFill="1" applyBorder="1" applyAlignment="1">
      <alignment horizontal="right" vertical="center" wrapText="1" readingOrder="1"/>
    </xf>
    <xf numFmtId="187" fontId="47" fillId="0" borderId="9" xfId="0" applyNumberFormat="1" applyFont="1" applyBorder="1" applyAlignment="1">
      <alignment horizontal="right" vertical="center" wrapText="1" readingOrder="1"/>
    </xf>
    <xf numFmtId="187" fontId="47" fillId="0" borderId="11" xfId="0" applyNumberFormat="1" applyFont="1" applyBorder="1" applyAlignment="1">
      <alignment horizontal="right" vertical="center" wrapText="1" readingOrder="1"/>
    </xf>
    <xf numFmtId="187" fontId="43" fillId="0" borderId="0" xfId="0" applyNumberFormat="1" applyFont="1">
      <alignment vertical="center"/>
    </xf>
    <xf numFmtId="181" fontId="45" fillId="6" borderId="9" xfId="1" applyNumberFormat="1" applyFont="1" applyFill="1" applyBorder="1" applyAlignment="1">
      <alignment horizontal="right" vertical="center" wrapText="1" readingOrder="1"/>
    </xf>
    <xf numFmtId="188" fontId="45" fillId="6" borderId="9" xfId="0" applyNumberFormat="1" applyFont="1" applyFill="1" applyBorder="1" applyAlignment="1">
      <alignment horizontal="right" vertical="center" wrapText="1" readingOrder="1"/>
    </xf>
    <xf numFmtId="0" fontId="52" fillId="10" borderId="8" xfId="0" applyFont="1" applyFill="1" applyBorder="1" applyAlignment="1">
      <alignment horizontal="center" vertical="center" wrapText="1" readingOrder="1"/>
    </xf>
    <xf numFmtId="0" fontId="46" fillId="10" borderId="8" xfId="0" applyFont="1" applyFill="1" applyBorder="1" applyAlignment="1">
      <alignment horizontal="center" vertical="center" wrapText="1"/>
    </xf>
    <xf numFmtId="0" fontId="53" fillId="0" borderId="9" xfId="0" applyFont="1" applyBorder="1" applyAlignment="1">
      <alignment vertical="center" wrapText="1" readingOrder="1"/>
    </xf>
    <xf numFmtId="0" fontId="45" fillId="10" borderId="8" xfId="0" applyFont="1" applyFill="1" applyBorder="1" applyAlignment="1">
      <alignment horizontal="center" vertical="center" wrapText="1" readingOrder="1"/>
    </xf>
    <xf numFmtId="0" fontId="54" fillId="0" borderId="0" xfId="0" applyFont="1">
      <alignment vertical="center"/>
    </xf>
    <xf numFmtId="0" fontId="55" fillId="7" borderId="0" xfId="0" applyFont="1" applyFill="1">
      <alignment vertical="center"/>
    </xf>
    <xf numFmtId="0" fontId="46" fillId="10" borderId="14" xfId="0" applyFont="1" applyFill="1" applyBorder="1" applyAlignment="1">
      <alignment vertical="top"/>
    </xf>
    <xf numFmtId="0" fontId="46" fillId="10" borderId="15" xfId="0" applyFont="1" applyFill="1" applyBorder="1" applyAlignment="1">
      <alignment vertical="top"/>
    </xf>
    <xf numFmtId="0" fontId="46" fillId="10" borderId="13" xfId="0" applyFont="1" applyFill="1" applyBorder="1" applyAlignment="1">
      <alignment vertical="top"/>
    </xf>
    <xf numFmtId="41" fontId="20" fillId="9" borderId="54" xfId="2" applyFont="1" applyFill="1" applyBorder="1">
      <alignment vertical="center"/>
    </xf>
    <xf numFmtId="41" fontId="5" fillId="3" borderId="3" xfId="2" applyFont="1" applyFill="1" applyBorder="1" applyAlignment="1">
      <alignment horizontal="right" vertical="center" wrapText="1"/>
    </xf>
    <xf numFmtId="41" fontId="5" fillId="2" borderId="3" xfId="2" applyFont="1" applyFill="1" applyBorder="1" applyAlignment="1">
      <alignment horizontal="right" vertical="center" wrapText="1"/>
    </xf>
    <xf numFmtId="186" fontId="20" fillId="9" borderId="3" xfId="2" applyNumberFormat="1" applyFont="1" applyFill="1" applyBorder="1" applyAlignment="1">
      <alignment vertical="center" wrapText="1"/>
    </xf>
    <xf numFmtId="186" fontId="20" fillId="9" borderId="0" xfId="2" applyNumberFormat="1" applyFont="1" applyFill="1" applyBorder="1" applyAlignment="1">
      <alignment vertical="center" wrapText="1"/>
    </xf>
    <xf numFmtId="186" fontId="20" fillId="7" borderId="3" xfId="2" applyNumberFormat="1" applyFont="1" applyFill="1" applyBorder="1" applyAlignment="1">
      <alignment vertical="center" wrapText="1"/>
    </xf>
    <xf numFmtId="186" fontId="20" fillId="7" borderId="0" xfId="2" applyNumberFormat="1" applyFont="1" applyFill="1" applyBorder="1" applyAlignment="1">
      <alignment vertical="center" wrapText="1"/>
    </xf>
    <xf numFmtId="186" fontId="13" fillId="0" borderId="3" xfId="2" applyNumberFormat="1" applyFont="1" applyFill="1" applyBorder="1" applyAlignment="1">
      <alignment vertical="center" wrapText="1"/>
    </xf>
    <xf numFmtId="186" fontId="13" fillId="0" borderId="0" xfId="2" applyNumberFormat="1" applyFont="1" applyFill="1" applyBorder="1" applyAlignment="1">
      <alignment vertical="center" wrapText="1"/>
    </xf>
    <xf numFmtId="186" fontId="20" fillId="9" borderId="6" xfId="2" applyNumberFormat="1" applyFont="1" applyFill="1" applyBorder="1" applyAlignment="1">
      <alignment vertical="center" wrapText="1"/>
    </xf>
    <xf numFmtId="186" fontId="20" fillId="9" borderId="1" xfId="2" applyNumberFormat="1" applyFont="1" applyFill="1" applyBorder="1" applyAlignment="1">
      <alignment vertical="center" wrapText="1"/>
    </xf>
    <xf numFmtId="49" fontId="12" fillId="8" borderId="64" xfId="0" applyNumberFormat="1" applyFont="1" applyFill="1" applyBorder="1" applyAlignment="1">
      <alignment horizontal="center" vertical="center" wrapText="1"/>
    </xf>
    <xf numFmtId="49" fontId="12" fillId="8" borderId="0" xfId="0" applyNumberFormat="1" applyFont="1" applyFill="1" applyAlignment="1">
      <alignment horizontal="center" vertical="center" wrapText="1"/>
    </xf>
    <xf numFmtId="49" fontId="12" fillId="8" borderId="65" xfId="0" applyNumberFormat="1" applyFont="1" applyFill="1" applyBorder="1" applyAlignment="1">
      <alignment horizontal="center" vertical="center" wrapText="1"/>
    </xf>
    <xf numFmtId="41" fontId="6" fillId="0" borderId="57" xfId="2" applyFont="1" applyBorder="1" applyAlignment="1">
      <alignment horizontal="right" vertical="center" wrapText="1"/>
    </xf>
    <xf numFmtId="41" fontId="6" fillId="0" borderId="60" xfId="2" applyFont="1" applyBorder="1" applyAlignment="1">
      <alignment horizontal="right" vertical="center" wrapText="1"/>
    </xf>
    <xf numFmtId="41" fontId="6" fillId="0" borderId="0" xfId="2" applyFont="1" applyAlignment="1">
      <alignment horizontal="right" vertical="center" wrapText="1"/>
    </xf>
    <xf numFmtId="179" fontId="6" fillId="0" borderId="71" xfId="0" applyNumberFormat="1" applyFont="1" applyBorder="1" applyAlignment="1">
      <alignment horizontal="right" vertical="center" wrapText="1"/>
    </xf>
    <xf numFmtId="181" fontId="6" fillId="0" borderId="65" xfId="1" applyNumberFormat="1" applyFont="1" applyFill="1" applyBorder="1" applyAlignment="1">
      <alignment horizontal="right" vertical="center" wrapText="1"/>
    </xf>
    <xf numFmtId="9" fontId="6" fillId="2" borderId="60" xfId="1" applyFont="1" applyFill="1" applyBorder="1" applyAlignment="1">
      <alignment horizontal="right" vertical="center" wrapText="1"/>
    </xf>
    <xf numFmtId="180" fontId="6" fillId="2" borderId="71" xfId="0" applyNumberFormat="1" applyFont="1" applyFill="1" applyBorder="1" applyAlignment="1">
      <alignment horizontal="right" vertical="center" wrapText="1"/>
    </xf>
    <xf numFmtId="9" fontId="6" fillId="2" borderId="65" xfId="1" applyFont="1" applyFill="1" applyBorder="1" applyAlignment="1">
      <alignment horizontal="right" vertical="center" wrapText="1"/>
    </xf>
    <xf numFmtId="180" fontId="6" fillId="2" borderId="64" xfId="0" applyNumberFormat="1" applyFont="1" applyFill="1" applyBorder="1" applyAlignment="1">
      <alignment horizontal="right" vertical="center" wrapText="1"/>
    </xf>
    <xf numFmtId="181" fontId="13" fillId="0" borderId="0" xfId="1" applyNumberFormat="1" applyFont="1" applyFill="1" applyBorder="1" applyAlignment="1">
      <alignment horizontal="right" vertical="center" wrapText="1"/>
    </xf>
    <xf numFmtId="179" fontId="27" fillId="2" borderId="0" xfId="0" applyNumberFormat="1" applyFont="1" applyFill="1" applyAlignment="1">
      <alignment horizontal="right" vertical="center" wrapText="1"/>
    </xf>
    <xf numFmtId="9" fontId="27" fillId="0" borderId="96" xfId="1" applyFont="1" applyBorder="1" applyAlignment="1">
      <alignment horizontal="right" vertical="center" wrapText="1"/>
    </xf>
    <xf numFmtId="9" fontId="27" fillId="0" borderId="97" xfId="1" applyFont="1" applyBorder="1" applyAlignment="1">
      <alignment horizontal="right" vertical="center" wrapText="1"/>
    </xf>
    <xf numFmtId="9" fontId="27" fillId="0" borderId="95" xfId="1" applyFont="1" applyBorder="1" applyAlignment="1">
      <alignment horizontal="right" vertical="center" wrapText="1"/>
    </xf>
    <xf numFmtId="9" fontId="19" fillId="0" borderId="104" xfId="1" applyFont="1" applyFill="1" applyBorder="1" applyAlignment="1">
      <alignment horizontal="right" vertical="center" wrapText="1"/>
    </xf>
    <xf numFmtId="180" fontId="21" fillId="0" borderId="0" xfId="0" applyNumberFormat="1" applyFont="1" applyAlignment="1">
      <alignment vertical="center" wrapText="1"/>
    </xf>
    <xf numFmtId="189" fontId="21" fillId="0" borderId="0" xfId="0" applyNumberFormat="1" applyFont="1" applyAlignment="1">
      <alignment vertical="center" wrapText="1"/>
    </xf>
    <xf numFmtId="180" fontId="20" fillId="2" borderId="84" xfId="2" applyNumberFormat="1" applyFont="1" applyFill="1" applyBorder="1" applyAlignment="1">
      <alignment horizontal="right" vertical="center" wrapText="1"/>
    </xf>
    <xf numFmtId="9" fontId="20" fillId="0" borderId="0" xfId="1" applyFont="1" applyFill="1" applyBorder="1" applyAlignment="1">
      <alignment horizontal="center" vertical="center"/>
    </xf>
    <xf numFmtId="184" fontId="22" fillId="0" borderId="84" xfId="2" applyNumberFormat="1" applyFont="1" applyFill="1" applyBorder="1" applyAlignment="1">
      <alignment horizontal="right" vertical="center" wrapText="1"/>
    </xf>
    <xf numFmtId="184" fontId="22" fillId="0" borderId="89" xfId="2" applyNumberFormat="1" applyFont="1" applyFill="1" applyBorder="1" applyAlignment="1">
      <alignment horizontal="right" vertical="center" wrapText="1"/>
    </xf>
    <xf numFmtId="181" fontId="24" fillId="0" borderId="84" xfId="1" applyNumberFormat="1" applyFont="1" applyFill="1" applyBorder="1" applyAlignment="1">
      <alignment horizontal="right" vertical="center" wrapText="1"/>
    </xf>
    <xf numFmtId="180" fontId="20" fillId="2" borderId="84" xfId="0" applyNumberFormat="1" applyFont="1" applyFill="1" applyBorder="1" applyAlignment="1">
      <alignment horizontal="right" vertical="center" wrapText="1"/>
    </xf>
    <xf numFmtId="181" fontId="25" fillId="2" borderId="84" xfId="1" applyNumberFormat="1" applyFont="1" applyFill="1" applyBorder="1" applyAlignment="1">
      <alignment horizontal="right" vertical="center" wrapText="1"/>
    </xf>
    <xf numFmtId="184" fontId="22" fillId="0" borderId="84" xfId="1" applyNumberFormat="1" applyFont="1" applyFill="1" applyBorder="1" applyAlignment="1">
      <alignment horizontal="right" vertical="center" wrapText="1"/>
    </xf>
    <xf numFmtId="184" fontId="22" fillId="0" borderId="89" xfId="1" applyNumberFormat="1" applyFont="1" applyFill="1" applyBorder="1" applyAlignment="1">
      <alignment horizontal="right" vertical="center" wrapText="1"/>
    </xf>
    <xf numFmtId="180" fontId="6" fillId="0" borderId="84" xfId="0" applyNumberFormat="1" applyFont="1" applyBorder="1" applyAlignment="1">
      <alignment horizontal="right" vertical="center" wrapText="1"/>
    </xf>
    <xf numFmtId="179" fontId="6" fillId="0" borderId="90" xfId="1" applyNumberFormat="1" applyFont="1" applyFill="1" applyBorder="1" applyAlignment="1">
      <alignment horizontal="right" vertical="center" wrapText="1"/>
    </xf>
    <xf numFmtId="9" fontId="6" fillId="0" borderId="0" xfId="1" applyFont="1" applyFill="1" applyBorder="1" applyAlignment="1">
      <alignment horizontal="center" vertical="center"/>
    </xf>
    <xf numFmtId="184" fontId="6" fillId="0" borderId="89" xfId="0" applyNumberFormat="1" applyFont="1" applyBorder="1" applyAlignment="1">
      <alignment horizontal="right" vertical="center" wrapText="1"/>
    </xf>
    <xf numFmtId="180" fontId="6" fillId="2" borderId="84" xfId="0" applyNumberFormat="1" applyFont="1" applyFill="1" applyBorder="1" applyAlignment="1">
      <alignment horizontal="right" vertical="center" wrapText="1"/>
    </xf>
    <xf numFmtId="181" fontId="25" fillId="2" borderId="85" xfId="1" applyNumberFormat="1" applyFont="1" applyFill="1" applyBorder="1" applyAlignment="1">
      <alignment horizontal="right" vertical="center" wrapText="1"/>
    </xf>
    <xf numFmtId="180" fontId="13" fillId="0" borderId="0" xfId="2" applyNumberFormat="1" applyFont="1" applyFill="1" applyBorder="1" applyAlignment="1">
      <alignment horizontal="center" vertical="center" wrapText="1"/>
    </xf>
    <xf numFmtId="176" fontId="13" fillId="0" borderId="0" xfId="2" applyNumberFormat="1" applyFont="1" applyFill="1" applyBorder="1" applyAlignment="1">
      <alignment vertical="center" wrapText="1"/>
    </xf>
    <xf numFmtId="180" fontId="20" fillId="0" borderId="84" xfId="0" applyNumberFormat="1" applyFont="1" applyBorder="1" applyAlignment="1">
      <alignment horizontal="right" vertical="center" wrapText="1"/>
    </xf>
    <xf numFmtId="180" fontId="27" fillId="2" borderId="84" xfId="0" applyNumberFormat="1" applyFont="1" applyFill="1" applyBorder="1" applyAlignment="1">
      <alignment horizontal="right" vertical="center" wrapText="1"/>
    </xf>
    <xf numFmtId="9" fontId="56" fillId="0" borderId="0" xfId="1" applyFont="1" applyFill="1" applyBorder="1" applyAlignment="1">
      <alignment horizontal="right" vertical="center"/>
    </xf>
    <xf numFmtId="180" fontId="20" fillId="12" borderId="84" xfId="2" applyNumberFormat="1" applyFont="1" applyFill="1" applyBorder="1" applyAlignment="1">
      <alignment horizontal="right" vertical="center" wrapText="1"/>
    </xf>
    <xf numFmtId="180" fontId="27" fillId="0" borderId="105" xfId="0" applyNumberFormat="1" applyFont="1" applyBorder="1" applyAlignment="1">
      <alignment horizontal="right" vertical="center" wrapText="1"/>
    </xf>
    <xf numFmtId="178" fontId="27" fillId="0" borderId="93" xfId="0" applyNumberFormat="1" applyFont="1" applyBorder="1" applyAlignment="1">
      <alignment horizontal="right" vertical="center" wrapText="1"/>
    </xf>
    <xf numFmtId="181" fontId="27" fillId="0" borderId="0" xfId="1" applyNumberFormat="1" applyFont="1" applyAlignment="1">
      <alignment horizontal="center" vertical="center"/>
    </xf>
    <xf numFmtId="180" fontId="22" fillId="0" borderId="0" xfId="0" applyNumberFormat="1" applyFont="1" applyAlignment="1">
      <alignment horizontal="center" vertical="center" wrapText="1"/>
    </xf>
    <xf numFmtId="181" fontId="20" fillId="0" borderId="84" xfId="1" applyNumberFormat="1" applyFont="1" applyFill="1" applyBorder="1" applyAlignment="1">
      <alignment horizontal="right" vertical="center" wrapText="1"/>
    </xf>
    <xf numFmtId="181" fontId="27" fillId="2" borderId="84" xfId="1" applyNumberFormat="1" applyFont="1" applyFill="1" applyBorder="1" applyAlignment="1">
      <alignment horizontal="right" vertical="center" wrapText="1"/>
    </xf>
    <xf numFmtId="181" fontId="32" fillId="0" borderId="0" xfId="1" applyNumberFormat="1" applyFont="1">
      <alignment vertical="center"/>
    </xf>
    <xf numFmtId="181" fontId="20" fillId="12" borderId="84" xfId="1" applyNumberFormat="1" applyFont="1" applyFill="1" applyBorder="1" applyAlignment="1">
      <alignment horizontal="right" vertical="center" wrapText="1"/>
    </xf>
    <xf numFmtId="181" fontId="27" fillId="0" borderId="85" xfId="1" applyNumberFormat="1" applyFont="1" applyFill="1" applyBorder="1" applyAlignment="1">
      <alignment horizontal="right" vertical="center" wrapText="1"/>
    </xf>
    <xf numFmtId="180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80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7" fillId="0" borderId="0" xfId="0" applyFont="1">
      <alignment vertical="center"/>
    </xf>
    <xf numFmtId="180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49" fontId="12" fillId="8" borderId="5" xfId="0" applyNumberFormat="1" applyFont="1" applyFill="1" applyBorder="1" applyAlignment="1">
      <alignment horizontal="center" vertical="center" wrapText="1"/>
    </xf>
    <xf numFmtId="190" fontId="12" fillId="8" borderId="2" xfId="0" applyNumberFormat="1" applyFont="1" applyFill="1" applyBorder="1" applyAlignment="1">
      <alignment horizontal="center" vertical="center" wrapText="1"/>
    </xf>
    <xf numFmtId="190" fontId="12" fillId="8" borderId="62" xfId="0" applyNumberFormat="1" applyFont="1" applyFill="1" applyBorder="1" applyAlignment="1">
      <alignment horizontal="center" vertical="center" wrapText="1"/>
    </xf>
    <xf numFmtId="0" fontId="58" fillId="0" borderId="0" xfId="0" applyFont="1">
      <alignment vertical="center"/>
    </xf>
    <xf numFmtId="180" fontId="5" fillId="2" borderId="57" xfId="2" applyNumberFormat="1" applyFont="1" applyFill="1" applyBorder="1" applyAlignment="1">
      <alignment horizontal="right" vertical="center" wrapText="1"/>
    </xf>
    <xf numFmtId="180" fontId="5" fillId="2" borderId="60" xfId="2" applyNumberFormat="1" applyFont="1" applyFill="1" applyBorder="1" applyAlignment="1">
      <alignment horizontal="right" vertical="center" wrapText="1"/>
    </xf>
    <xf numFmtId="180" fontId="5" fillId="2" borderId="4" xfId="2" applyNumberFormat="1" applyFont="1" applyFill="1" applyBorder="1" applyAlignment="1">
      <alignment horizontal="right" vertical="center" wrapText="1"/>
    </xf>
    <xf numFmtId="191" fontId="6" fillId="0" borderId="57" xfId="2" applyNumberFormat="1" applyFont="1" applyFill="1" applyBorder="1" applyAlignment="1">
      <alignment horizontal="right" vertical="center" wrapText="1"/>
    </xf>
    <xf numFmtId="191" fontId="6" fillId="0" borderId="60" xfId="2" applyNumberFormat="1" applyFont="1" applyFill="1" applyBorder="1" applyAlignment="1">
      <alignment horizontal="right" vertical="center" wrapText="1"/>
    </xf>
    <xf numFmtId="191" fontId="6" fillId="0" borderId="4" xfId="2" applyNumberFormat="1" applyFont="1" applyFill="1" applyBorder="1" applyAlignment="1">
      <alignment horizontal="right" vertical="center" wrapText="1"/>
    </xf>
    <xf numFmtId="184" fontId="6" fillId="0" borderId="60" xfId="2" applyNumberFormat="1" applyFont="1" applyFill="1" applyBorder="1" applyAlignment="1">
      <alignment horizontal="right" vertical="center" wrapText="1"/>
    </xf>
    <xf numFmtId="184" fontId="6" fillId="0" borderId="4" xfId="2" applyNumberFormat="1" applyFont="1" applyFill="1" applyBorder="1" applyAlignment="1">
      <alignment horizontal="right" vertical="center" wrapText="1"/>
    </xf>
    <xf numFmtId="184" fontId="6" fillId="0" borderId="57" xfId="2" applyNumberFormat="1" applyFont="1" applyFill="1" applyBorder="1" applyAlignment="1">
      <alignment horizontal="right" vertical="center" wrapText="1"/>
    </xf>
    <xf numFmtId="181" fontId="28" fillId="0" borderId="57" xfId="1" applyNumberFormat="1" applyFont="1" applyFill="1" applyBorder="1" applyAlignment="1">
      <alignment horizontal="right" vertical="center" wrapText="1"/>
    </xf>
    <xf numFmtId="181" fontId="28" fillId="0" borderId="60" xfId="1" applyNumberFormat="1" applyFont="1" applyFill="1" applyBorder="1" applyAlignment="1">
      <alignment horizontal="right" vertical="center" wrapText="1"/>
    </xf>
    <xf numFmtId="181" fontId="28" fillId="0" borderId="4" xfId="1" applyNumberFormat="1" applyFont="1" applyFill="1" applyBorder="1" applyAlignment="1">
      <alignment horizontal="right" vertical="center" wrapText="1"/>
    </xf>
    <xf numFmtId="180" fontId="5" fillId="2" borderId="57" xfId="0" applyNumberFormat="1" applyFont="1" applyFill="1" applyBorder="1" applyAlignment="1">
      <alignment horizontal="right" vertical="center" wrapText="1"/>
    </xf>
    <xf numFmtId="180" fontId="5" fillId="2" borderId="60" xfId="0" applyNumberFormat="1" applyFont="1" applyFill="1" applyBorder="1" applyAlignment="1">
      <alignment horizontal="right" vertical="center" wrapText="1"/>
    </xf>
    <xf numFmtId="180" fontId="5" fillId="2" borderId="4" xfId="0" applyNumberFormat="1" applyFont="1" applyFill="1" applyBorder="1" applyAlignment="1">
      <alignment horizontal="right" vertical="center" wrapText="1"/>
    </xf>
    <xf numFmtId="181" fontId="59" fillId="2" borderId="57" xfId="1" applyNumberFormat="1" applyFont="1" applyFill="1" applyBorder="1" applyAlignment="1">
      <alignment horizontal="right" vertical="center" wrapText="1"/>
    </xf>
    <xf numFmtId="181" fontId="59" fillId="2" borderId="60" xfId="1" applyNumberFormat="1" applyFont="1" applyFill="1" applyBorder="1" applyAlignment="1">
      <alignment horizontal="right" vertical="center" wrapText="1"/>
    </xf>
    <xf numFmtId="181" fontId="59" fillId="2" borderId="4" xfId="1" applyNumberFormat="1" applyFont="1" applyFill="1" applyBorder="1" applyAlignment="1">
      <alignment horizontal="right" vertical="center" wrapText="1"/>
    </xf>
    <xf numFmtId="184" fontId="6" fillId="0" borderId="57" xfId="1" applyNumberFormat="1" applyFont="1" applyFill="1" applyBorder="1" applyAlignment="1">
      <alignment horizontal="right" vertical="center" wrapText="1"/>
    </xf>
    <xf numFmtId="184" fontId="6" fillId="0" borderId="60" xfId="1" applyNumberFormat="1" applyFont="1" applyFill="1" applyBorder="1" applyAlignment="1">
      <alignment horizontal="right" vertical="center" wrapText="1"/>
    </xf>
    <xf numFmtId="184" fontId="6" fillId="0" borderId="4" xfId="1" applyNumberFormat="1" applyFont="1" applyFill="1" applyBorder="1" applyAlignment="1">
      <alignment horizontal="right" vertical="center" wrapText="1"/>
    </xf>
    <xf numFmtId="184" fontId="6" fillId="0" borderId="4" xfId="0" applyNumberFormat="1" applyFont="1" applyBorder="1" applyAlignment="1">
      <alignment horizontal="right" vertical="center" wrapText="1"/>
    </xf>
    <xf numFmtId="192" fontId="6" fillId="0" borderId="57" xfId="0" applyNumberFormat="1" applyFont="1" applyBorder="1" applyAlignment="1">
      <alignment horizontal="right" vertical="center" wrapText="1"/>
    </xf>
    <xf numFmtId="192" fontId="6" fillId="0" borderId="60" xfId="0" applyNumberFormat="1" applyFont="1" applyBorder="1" applyAlignment="1">
      <alignment horizontal="right" vertical="center" wrapText="1"/>
    </xf>
    <xf numFmtId="192" fontId="6" fillId="0" borderId="4" xfId="0" applyNumberFormat="1" applyFont="1" applyBorder="1" applyAlignment="1">
      <alignment horizontal="right" vertical="center" wrapText="1"/>
    </xf>
    <xf numFmtId="180" fontId="6" fillId="2" borderId="57" xfId="0" applyNumberFormat="1" applyFont="1" applyFill="1" applyBorder="1" applyAlignment="1">
      <alignment horizontal="right" vertical="center" wrapText="1"/>
    </xf>
    <xf numFmtId="180" fontId="6" fillId="2" borderId="60" xfId="0" applyNumberFormat="1" applyFont="1" applyFill="1" applyBorder="1" applyAlignment="1">
      <alignment horizontal="right" vertical="center" wrapText="1"/>
    </xf>
    <xf numFmtId="180" fontId="6" fillId="2" borderId="4" xfId="0" applyNumberFormat="1" applyFont="1" applyFill="1" applyBorder="1" applyAlignment="1">
      <alignment horizontal="right" vertical="center" wrapText="1"/>
    </xf>
    <xf numFmtId="179" fontId="6" fillId="0" borderId="84" xfId="0" applyNumberFormat="1" applyFont="1" applyBorder="1" applyAlignment="1">
      <alignment horizontal="center" vertical="center" wrapText="1"/>
    </xf>
    <xf numFmtId="180" fontId="6" fillId="0" borderId="57" xfId="2" applyNumberFormat="1" applyFont="1" applyFill="1" applyBorder="1" applyAlignment="1">
      <alignment horizontal="right" vertical="center" wrapText="1"/>
    </xf>
    <xf numFmtId="180" fontId="6" fillId="0" borderId="60" xfId="2" applyNumberFormat="1" applyFont="1" applyFill="1" applyBorder="1" applyAlignment="1">
      <alignment horizontal="right" vertical="center" wrapText="1"/>
    </xf>
    <xf numFmtId="180" fontId="6" fillId="0" borderId="4" xfId="2" applyNumberFormat="1" applyFont="1" applyFill="1" applyBorder="1" applyAlignment="1">
      <alignment horizontal="right" vertical="center" wrapText="1"/>
    </xf>
    <xf numFmtId="181" fontId="59" fillId="2" borderId="58" xfId="1" applyNumberFormat="1" applyFont="1" applyFill="1" applyBorder="1" applyAlignment="1">
      <alignment horizontal="right" vertical="center" wrapText="1"/>
    </xf>
    <xf numFmtId="181" fontId="59" fillId="2" borderId="59" xfId="1" applyNumberFormat="1" applyFont="1" applyFill="1" applyBorder="1" applyAlignment="1">
      <alignment horizontal="right" vertical="center" wrapText="1"/>
    </xf>
    <xf numFmtId="181" fontId="59" fillId="2" borderId="7" xfId="1" applyNumberFormat="1" applyFont="1" applyFill="1" applyBorder="1" applyAlignment="1">
      <alignment horizontal="right" vertical="center" wrapText="1"/>
    </xf>
    <xf numFmtId="180" fontId="6" fillId="0" borderId="0" xfId="2" applyNumberFormat="1" applyFont="1" applyFill="1" applyBorder="1" applyAlignment="1">
      <alignment horizontal="right" vertical="center" wrapText="1"/>
    </xf>
    <xf numFmtId="180" fontId="12" fillId="8" borderId="2" xfId="0" applyNumberFormat="1" applyFont="1" applyFill="1" applyBorder="1" applyAlignment="1">
      <alignment horizontal="center" vertical="center" wrapText="1"/>
    </xf>
    <xf numFmtId="180" fontId="12" fillId="8" borderId="5" xfId="0" applyNumberFormat="1" applyFont="1" applyFill="1" applyBorder="1" applyAlignment="1">
      <alignment horizontal="center" vertical="center" wrapText="1"/>
    </xf>
    <xf numFmtId="180" fontId="5" fillId="0" borderId="60" xfId="0" applyNumberFormat="1" applyFont="1" applyBorder="1" applyAlignment="1">
      <alignment horizontal="right" vertical="center" wrapText="1"/>
    </xf>
    <xf numFmtId="180" fontId="5" fillId="0" borderId="56" xfId="0" applyNumberFormat="1" applyFont="1" applyBorder="1" applyAlignment="1">
      <alignment horizontal="right" vertical="center" wrapText="1"/>
    </xf>
    <xf numFmtId="180" fontId="5" fillId="0" borderId="65" xfId="0" applyNumberFormat="1" applyFont="1" applyBorder="1" applyAlignment="1">
      <alignment horizontal="right" vertical="center" wrapText="1"/>
    </xf>
    <xf numFmtId="180" fontId="6" fillId="2" borderId="56" xfId="0" applyNumberFormat="1" applyFont="1" applyFill="1" applyBorder="1" applyAlignment="1">
      <alignment horizontal="right" vertical="center" wrapText="1"/>
    </xf>
    <xf numFmtId="180" fontId="6" fillId="2" borderId="65" xfId="0" applyNumberFormat="1" applyFont="1" applyFill="1" applyBorder="1" applyAlignment="1">
      <alignment horizontal="right" vertical="center" wrapText="1"/>
    </xf>
    <xf numFmtId="180" fontId="5" fillId="12" borderId="60" xfId="2" applyNumberFormat="1" applyFont="1" applyFill="1" applyBorder="1" applyAlignment="1">
      <alignment horizontal="right" vertical="center" wrapText="1"/>
    </xf>
    <xf numFmtId="180" fontId="5" fillId="12" borderId="56" xfId="2" applyNumberFormat="1" applyFont="1" applyFill="1" applyBorder="1" applyAlignment="1">
      <alignment horizontal="right" vertical="center" wrapText="1"/>
    </xf>
    <xf numFmtId="180" fontId="5" fillId="12" borderId="65" xfId="2" applyNumberFormat="1" applyFont="1" applyFill="1" applyBorder="1" applyAlignment="1">
      <alignment horizontal="right" vertical="center" wrapText="1"/>
    </xf>
    <xf numFmtId="180" fontId="6" fillId="2" borderId="59" xfId="0" applyNumberFormat="1" applyFont="1" applyFill="1" applyBorder="1" applyAlignment="1">
      <alignment horizontal="right" vertical="center" wrapText="1"/>
    </xf>
    <xf numFmtId="180" fontId="6" fillId="2" borderId="81" xfId="0" applyNumberFormat="1" applyFont="1" applyFill="1" applyBorder="1" applyAlignment="1">
      <alignment horizontal="right" vertical="center" wrapText="1"/>
    </xf>
    <xf numFmtId="180" fontId="6" fillId="2" borderId="82" xfId="0" applyNumberFormat="1" applyFont="1" applyFill="1" applyBorder="1" applyAlignment="1">
      <alignment horizontal="right" vertical="center" wrapText="1"/>
    </xf>
    <xf numFmtId="180" fontId="5" fillId="0" borderId="59" xfId="0" applyNumberFormat="1" applyFont="1" applyBorder="1" applyAlignment="1">
      <alignment horizontal="right" vertical="center" wrapText="1"/>
    </xf>
    <xf numFmtId="180" fontId="5" fillId="0" borderId="81" xfId="0" applyNumberFormat="1" applyFont="1" applyBorder="1" applyAlignment="1">
      <alignment horizontal="right" vertical="center" wrapText="1"/>
    </xf>
    <xf numFmtId="180" fontId="5" fillId="0" borderId="82" xfId="0" applyNumberFormat="1" applyFont="1" applyBorder="1" applyAlignment="1">
      <alignment horizontal="right" vertical="center" wrapText="1"/>
    </xf>
    <xf numFmtId="181" fontId="5" fillId="0" borderId="60" xfId="1" applyNumberFormat="1" applyFont="1" applyFill="1" applyBorder="1" applyAlignment="1">
      <alignment horizontal="right" vertical="center" wrapText="1"/>
    </xf>
    <xf numFmtId="181" fontId="5" fillId="0" borderId="56" xfId="1" applyNumberFormat="1" applyFont="1" applyFill="1" applyBorder="1" applyAlignment="1">
      <alignment horizontal="right" vertical="center" wrapText="1"/>
    </xf>
    <xf numFmtId="181" fontId="5" fillId="0" borderId="65" xfId="1" applyNumberFormat="1" applyFont="1" applyFill="1" applyBorder="1" applyAlignment="1">
      <alignment horizontal="right" vertical="center" wrapText="1"/>
    </xf>
    <xf numFmtId="181" fontId="6" fillId="2" borderId="60" xfId="1" applyNumberFormat="1" applyFont="1" applyFill="1" applyBorder="1" applyAlignment="1">
      <alignment horizontal="right" vertical="center" wrapText="1"/>
    </xf>
    <xf numFmtId="181" fontId="6" fillId="2" borderId="56" xfId="1" applyNumberFormat="1" applyFont="1" applyFill="1" applyBorder="1" applyAlignment="1">
      <alignment horizontal="right" vertical="center" wrapText="1"/>
    </xf>
    <xf numFmtId="181" fontId="6" fillId="2" borderId="65" xfId="1" applyNumberFormat="1" applyFont="1" applyFill="1" applyBorder="1" applyAlignment="1">
      <alignment horizontal="right" vertical="center" wrapText="1"/>
    </xf>
    <xf numFmtId="181" fontId="5" fillId="0" borderId="65" xfId="1" applyNumberFormat="1" applyFont="1" applyBorder="1" applyAlignment="1">
      <alignment horizontal="right" vertical="center" wrapText="1"/>
    </xf>
    <xf numFmtId="9" fontId="5" fillId="12" borderId="60" xfId="1" applyFont="1" applyFill="1" applyBorder="1" applyAlignment="1">
      <alignment horizontal="right" vertical="center" wrapText="1"/>
    </xf>
    <xf numFmtId="9" fontId="5" fillId="12" borderId="56" xfId="1" applyFont="1" applyFill="1" applyBorder="1" applyAlignment="1">
      <alignment horizontal="right" vertical="center" wrapText="1"/>
    </xf>
    <xf numFmtId="9" fontId="5" fillId="12" borderId="65" xfId="1" applyFont="1" applyFill="1" applyBorder="1" applyAlignment="1">
      <alignment horizontal="right" vertical="center" wrapText="1"/>
    </xf>
    <xf numFmtId="9" fontId="57" fillId="0" borderId="0" xfId="1" applyFont="1">
      <alignment vertical="center"/>
    </xf>
    <xf numFmtId="9" fontId="6" fillId="2" borderId="56" xfId="1" applyFont="1" applyFill="1" applyBorder="1" applyAlignment="1">
      <alignment horizontal="right" vertical="center" wrapText="1"/>
    </xf>
    <xf numFmtId="9" fontId="6" fillId="2" borderId="59" xfId="1" applyFont="1" applyFill="1" applyBorder="1" applyAlignment="1">
      <alignment horizontal="right" vertical="center" wrapText="1"/>
    </xf>
    <xf numFmtId="9" fontId="6" fillId="2" borderId="81" xfId="1" applyFont="1" applyFill="1" applyBorder="1" applyAlignment="1">
      <alignment horizontal="right" vertical="center" wrapText="1"/>
    </xf>
    <xf numFmtId="9" fontId="6" fillId="2" borderId="82" xfId="1" applyFont="1" applyFill="1" applyBorder="1" applyAlignment="1">
      <alignment horizontal="right" vertical="center" wrapText="1"/>
    </xf>
    <xf numFmtId="9" fontId="5" fillId="0" borderId="59" xfId="1" applyFont="1" applyBorder="1" applyAlignment="1">
      <alignment horizontal="right" vertical="center" wrapText="1"/>
    </xf>
    <xf numFmtId="9" fontId="5" fillId="0" borderId="81" xfId="1" applyFont="1" applyBorder="1" applyAlignment="1">
      <alignment horizontal="right" vertical="center" wrapText="1"/>
    </xf>
    <xf numFmtId="9" fontId="5" fillId="0" borderId="82" xfId="1" applyFont="1" applyBorder="1" applyAlignment="1">
      <alignment horizontal="right" vertical="center" wrapText="1"/>
    </xf>
    <xf numFmtId="41" fontId="2" fillId="3" borderId="106" xfId="2" applyFont="1" applyFill="1" applyBorder="1" applyAlignment="1">
      <alignment horizontal="right" vertical="center" wrapText="1"/>
    </xf>
    <xf numFmtId="41" fontId="2" fillId="3" borderId="77" xfId="2" applyFont="1" applyFill="1" applyBorder="1" applyAlignment="1">
      <alignment horizontal="right" vertical="center" wrapText="1"/>
    </xf>
    <xf numFmtId="41" fontId="2" fillId="2" borderId="106" xfId="2" applyFont="1" applyFill="1" applyBorder="1" applyAlignment="1">
      <alignment horizontal="right" vertical="center" wrapText="1"/>
    </xf>
    <xf numFmtId="41" fontId="2" fillId="2" borderId="77" xfId="2" applyFont="1" applyFill="1" applyBorder="1" applyAlignment="1">
      <alignment horizontal="right" vertical="center" wrapText="1"/>
    </xf>
    <xf numFmtId="41" fontId="4" fillId="0" borderId="106" xfId="2" applyFont="1" applyFill="1" applyBorder="1" applyAlignment="1">
      <alignment horizontal="right" vertical="center" wrapText="1"/>
    </xf>
    <xf numFmtId="41" fontId="4" fillId="0" borderId="77" xfId="2" applyFont="1" applyFill="1" applyBorder="1" applyAlignment="1">
      <alignment horizontal="right" vertical="center" wrapText="1"/>
    </xf>
    <xf numFmtId="176" fontId="6" fillId="0" borderId="0" xfId="2" applyNumberFormat="1" applyFont="1" applyFill="1" applyBorder="1">
      <alignment vertical="center"/>
    </xf>
    <xf numFmtId="0" fontId="32" fillId="0" borderId="0" xfId="0" applyFont="1" applyAlignment="1">
      <alignment horizontal="left" vertical="center"/>
    </xf>
    <xf numFmtId="178" fontId="13" fillId="0" borderId="0" xfId="1" applyNumberFormat="1" applyFont="1" applyFill="1" applyBorder="1" applyAlignment="1">
      <alignment vertical="center" wrapText="1"/>
    </xf>
    <xf numFmtId="178" fontId="14" fillId="8" borderId="5" xfId="0" applyNumberFormat="1" applyFont="1" applyFill="1" applyBorder="1" applyAlignment="1">
      <alignment horizontal="center" vertical="center" wrapText="1"/>
    </xf>
    <xf numFmtId="178" fontId="14" fillId="8" borderId="2" xfId="0" applyNumberFormat="1" applyFont="1" applyFill="1" applyBorder="1" applyAlignment="1">
      <alignment horizontal="center" vertical="center" wrapText="1"/>
    </xf>
    <xf numFmtId="178" fontId="21" fillId="9" borderId="57" xfId="1" applyNumberFormat="1" applyFont="1" applyFill="1" applyBorder="1" applyAlignment="1">
      <alignment vertical="center" wrapText="1"/>
    </xf>
    <xf numFmtId="178" fontId="21" fillId="9" borderId="60" xfId="1" applyNumberFormat="1" applyFont="1" applyFill="1" applyBorder="1" applyAlignment="1">
      <alignment vertical="center" wrapText="1"/>
    </xf>
    <xf numFmtId="178" fontId="21" fillId="7" borderId="57" xfId="1" applyNumberFormat="1" applyFont="1" applyFill="1" applyBorder="1" applyAlignment="1">
      <alignment vertical="center" wrapText="1"/>
    </xf>
    <xf numFmtId="178" fontId="21" fillId="7" borderId="60" xfId="1" applyNumberFormat="1" applyFont="1" applyFill="1" applyBorder="1" applyAlignment="1">
      <alignment vertical="center" wrapText="1"/>
    </xf>
    <xf numFmtId="178" fontId="22" fillId="0" borderId="57" xfId="1" applyNumberFormat="1" applyFont="1" applyFill="1" applyBorder="1" applyAlignment="1">
      <alignment vertical="center" wrapText="1"/>
    </xf>
    <xf numFmtId="178" fontId="22" fillId="0" borderId="60" xfId="1" applyNumberFormat="1" applyFont="1" applyFill="1" applyBorder="1" applyAlignment="1">
      <alignment vertical="center" wrapText="1"/>
    </xf>
    <xf numFmtId="179" fontId="22" fillId="0" borderId="60" xfId="1" applyNumberFormat="1" applyFont="1" applyFill="1" applyBorder="1" applyAlignment="1">
      <alignment vertical="center" wrapText="1"/>
    </xf>
    <xf numFmtId="41" fontId="22" fillId="7" borderId="57" xfId="2" applyFont="1" applyFill="1" applyBorder="1" applyAlignment="1">
      <alignment vertical="center" wrapText="1"/>
    </xf>
    <xf numFmtId="41" fontId="22" fillId="7" borderId="60" xfId="2" applyFont="1" applyFill="1" applyBorder="1" applyAlignment="1">
      <alignment vertical="center" wrapText="1"/>
    </xf>
    <xf numFmtId="178" fontId="21" fillId="9" borderId="58" xfId="1" applyNumberFormat="1" applyFont="1" applyFill="1" applyBorder="1" applyAlignment="1">
      <alignment vertical="center" wrapText="1"/>
    </xf>
    <xf numFmtId="178" fontId="21" fillId="9" borderId="59" xfId="1" applyNumberFormat="1" applyFont="1" applyFill="1" applyBorder="1" applyAlignment="1">
      <alignment vertical="center" wrapText="1"/>
    </xf>
    <xf numFmtId="178" fontId="13" fillId="0" borderId="3" xfId="1" applyNumberFormat="1" applyFont="1" applyFill="1" applyBorder="1" applyAlignment="1">
      <alignment vertical="center" wrapText="1"/>
    </xf>
    <xf numFmtId="41" fontId="20" fillId="9" borderId="3" xfId="2" applyFont="1" applyFill="1" applyBorder="1" applyAlignment="1">
      <alignment vertical="center" wrapText="1"/>
    </xf>
    <xf numFmtId="41" fontId="20" fillId="7" borderId="3" xfId="2" applyFont="1" applyFill="1" applyBorder="1" applyAlignment="1">
      <alignment vertical="center" wrapText="1"/>
    </xf>
    <xf numFmtId="41" fontId="13" fillId="0" borderId="3" xfId="2" applyFont="1" applyFill="1" applyBorder="1" applyAlignment="1">
      <alignment vertical="center" wrapText="1"/>
    </xf>
    <xf numFmtId="41" fontId="20" fillId="9" borderId="6" xfId="2" applyFont="1" applyFill="1" applyBorder="1" applyAlignment="1">
      <alignment vertical="center" wrapText="1"/>
    </xf>
    <xf numFmtId="0" fontId="12" fillId="8" borderId="107" xfId="0" applyFont="1" applyFill="1" applyBorder="1" applyAlignment="1">
      <alignment horizontal="center" vertical="center" wrapText="1"/>
    </xf>
    <xf numFmtId="0" fontId="12" fillId="8" borderId="78" xfId="0" applyFont="1" applyFill="1" applyBorder="1" applyAlignment="1">
      <alignment horizontal="center" vertical="center" wrapText="1"/>
    </xf>
    <xf numFmtId="0" fontId="12" fillId="8" borderId="55" xfId="0" applyFont="1" applyFill="1" applyBorder="1" applyAlignment="1">
      <alignment horizontal="center" vertical="center" wrapText="1"/>
    </xf>
    <xf numFmtId="41" fontId="4" fillId="9" borderId="106" xfId="2" applyFont="1" applyFill="1" applyBorder="1" applyAlignment="1">
      <alignment horizontal="right" vertical="center" wrapText="1"/>
    </xf>
    <xf numFmtId="41" fontId="4" fillId="9" borderId="77" xfId="2" applyFont="1" applyFill="1" applyBorder="1" applyAlignment="1">
      <alignment horizontal="right" vertical="center" wrapText="1"/>
    </xf>
    <xf numFmtId="41" fontId="4" fillId="9" borderId="4" xfId="2" applyFont="1" applyFill="1" applyBorder="1" applyAlignment="1">
      <alignment horizontal="right" vertical="center" wrapText="1"/>
    </xf>
    <xf numFmtId="193" fontId="13" fillId="0" borderId="0" xfId="1" applyNumberFormat="1" applyFont="1" applyFill="1" applyBorder="1" applyAlignment="1">
      <alignment horizontal="right" vertical="center" wrapText="1"/>
    </xf>
    <xf numFmtId="193" fontId="14" fillId="8" borderId="88" xfId="0" applyNumberFormat="1" applyFont="1" applyFill="1" applyBorder="1" applyAlignment="1">
      <alignment horizontal="center" vertical="center" wrapText="1"/>
    </xf>
    <xf numFmtId="193" fontId="22" fillId="9" borderId="90" xfId="1" applyNumberFormat="1" applyFont="1" applyFill="1" applyBorder="1" applyAlignment="1">
      <alignment horizontal="right" vertical="center" wrapText="1"/>
    </xf>
    <xf numFmtId="193" fontId="22" fillId="7" borderId="90" xfId="1" applyNumberFormat="1" applyFont="1" applyFill="1" applyBorder="1" applyAlignment="1">
      <alignment horizontal="right" vertical="center" wrapText="1"/>
    </xf>
    <xf numFmtId="193" fontId="22" fillId="0" borderId="90" xfId="1" applyNumberFormat="1" applyFont="1" applyFill="1" applyBorder="1" applyAlignment="1">
      <alignment horizontal="right" vertical="center" wrapText="1"/>
    </xf>
    <xf numFmtId="193" fontId="22" fillId="7" borderId="90" xfId="2" applyNumberFormat="1" applyFont="1" applyFill="1" applyBorder="1" applyAlignment="1">
      <alignment horizontal="right" vertical="center" wrapText="1"/>
    </xf>
    <xf numFmtId="193" fontId="22" fillId="9" borderId="91" xfId="1" applyNumberFormat="1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9" fontId="32" fillId="0" borderId="0" xfId="1" applyFont="1" applyFill="1">
      <alignment vertical="center"/>
    </xf>
    <xf numFmtId="0" fontId="55" fillId="0" borderId="0" xfId="0" applyFont="1">
      <alignment vertical="center"/>
    </xf>
    <xf numFmtId="9" fontId="40" fillId="2" borderId="0" xfId="1" applyFont="1" applyFill="1" applyBorder="1" applyAlignment="1">
      <alignment horizontal="right" vertical="center" wrapText="1"/>
    </xf>
    <xf numFmtId="9" fontId="40" fillId="2" borderId="60" xfId="1" applyFont="1" applyFill="1" applyBorder="1" applyAlignment="1">
      <alignment horizontal="right" vertical="center" wrapText="1"/>
    </xf>
    <xf numFmtId="186" fontId="13" fillId="0" borderId="90" xfId="2" applyNumberFormat="1" applyFont="1" applyFill="1" applyBorder="1" applyAlignment="1">
      <alignment vertical="center" wrapText="1"/>
    </xf>
    <xf numFmtId="186" fontId="13" fillId="0" borderId="84" xfId="2" applyNumberFormat="1" applyFont="1" applyFill="1" applyBorder="1" applyAlignment="1">
      <alignment vertical="center" wrapText="1"/>
    </xf>
    <xf numFmtId="9" fontId="22" fillId="0" borderId="90" xfId="1" applyFont="1" applyFill="1" applyBorder="1" applyAlignment="1">
      <alignment vertical="center" wrapText="1"/>
    </xf>
    <xf numFmtId="186" fontId="20" fillId="9" borderId="83" xfId="2" applyNumberFormat="1" applyFont="1" applyFill="1" applyBorder="1" applyAlignment="1">
      <alignment vertical="center" wrapText="1"/>
    </xf>
    <xf numFmtId="186" fontId="20" fillId="9" borderId="88" xfId="2" applyNumberFormat="1" applyFont="1" applyFill="1" applyBorder="1" applyAlignment="1">
      <alignment vertical="center" wrapText="1"/>
    </xf>
    <xf numFmtId="186" fontId="20" fillId="7" borderId="85" xfId="2" applyNumberFormat="1" applyFont="1" applyFill="1" applyBorder="1" applyAlignment="1">
      <alignment vertical="center" wrapText="1"/>
    </xf>
    <xf numFmtId="186" fontId="20" fillId="7" borderId="91" xfId="2" applyNumberFormat="1" applyFont="1" applyFill="1" applyBorder="1" applyAlignment="1">
      <alignment vertical="center" wrapText="1"/>
    </xf>
    <xf numFmtId="186" fontId="20" fillId="9" borderId="86" xfId="2" applyNumberFormat="1" applyFont="1" applyFill="1" applyBorder="1" applyAlignment="1">
      <alignment vertical="center" wrapText="1"/>
    </xf>
    <xf numFmtId="9" fontId="22" fillId="9" borderId="108" xfId="1" applyFont="1" applyFill="1" applyBorder="1" applyAlignment="1">
      <alignment vertical="center" wrapText="1"/>
    </xf>
    <xf numFmtId="9" fontId="22" fillId="9" borderId="88" xfId="1" applyFont="1" applyFill="1" applyBorder="1" applyAlignment="1">
      <alignment vertical="center" wrapText="1"/>
    </xf>
    <xf numFmtId="186" fontId="13" fillId="0" borderId="89" xfId="2" applyNumberFormat="1" applyFont="1" applyFill="1" applyBorder="1" applyAlignment="1">
      <alignment vertical="center" wrapText="1"/>
    </xf>
    <xf numFmtId="186" fontId="20" fillId="7" borderId="87" xfId="2" applyNumberFormat="1" applyFont="1" applyFill="1" applyBorder="1" applyAlignment="1">
      <alignment vertical="center" wrapText="1"/>
    </xf>
    <xf numFmtId="9" fontId="22" fillId="7" borderId="109" xfId="1" applyFont="1" applyFill="1" applyBorder="1" applyAlignment="1">
      <alignment vertical="center" wrapText="1"/>
    </xf>
    <xf numFmtId="9" fontId="22" fillId="7" borderId="91" xfId="1" applyFont="1" applyFill="1" applyBorder="1" applyAlignment="1">
      <alignment vertical="center" wrapText="1"/>
    </xf>
    <xf numFmtId="9" fontId="22" fillId="9" borderId="110" xfId="1" applyFont="1" applyFill="1" applyBorder="1" applyAlignment="1">
      <alignment vertical="center" wrapText="1"/>
    </xf>
    <xf numFmtId="186" fontId="20" fillId="9" borderId="108" xfId="2" applyNumberFormat="1" applyFont="1" applyFill="1" applyBorder="1" applyAlignment="1">
      <alignment vertical="center" wrapText="1"/>
    </xf>
    <xf numFmtId="9" fontId="22" fillId="7" borderId="111" xfId="1" applyFont="1" applyFill="1" applyBorder="1" applyAlignment="1">
      <alignment vertical="center" wrapText="1"/>
    </xf>
    <xf numFmtId="186" fontId="20" fillId="7" borderId="109" xfId="2" applyNumberFormat="1" applyFont="1" applyFill="1" applyBorder="1" applyAlignment="1">
      <alignment vertical="center" wrapText="1"/>
    </xf>
    <xf numFmtId="186" fontId="20" fillId="0" borderId="0" xfId="2" applyNumberFormat="1" applyFont="1" applyFill="1" applyBorder="1" applyAlignment="1">
      <alignment vertical="center" wrapText="1"/>
    </xf>
    <xf numFmtId="176" fontId="13" fillId="0" borderId="0" xfId="2" applyNumberFormat="1" applyFont="1" applyFill="1" applyBorder="1" applyAlignment="1">
      <alignment horizontal="left" vertical="center"/>
    </xf>
    <xf numFmtId="181" fontId="23" fillId="0" borderId="60" xfId="1" applyNumberFormat="1" applyFont="1" applyFill="1" applyBorder="1" applyAlignment="1">
      <alignment horizontal="right" vertical="center" wrapText="1"/>
    </xf>
    <xf numFmtId="9" fontId="60" fillId="0" borderId="0" xfId="1" applyFont="1" applyFill="1" applyBorder="1" applyAlignment="1">
      <alignment vertical="center" wrapText="1"/>
    </xf>
    <xf numFmtId="9" fontId="60" fillId="0" borderId="77" xfId="1" applyFont="1" applyFill="1" applyBorder="1" applyAlignment="1">
      <alignment vertical="center" wrapText="1"/>
    </xf>
    <xf numFmtId="9" fontId="22" fillId="0" borderId="0" xfId="1" applyFont="1" applyAlignment="1">
      <alignment horizontal="right" vertical="center" wrapText="1"/>
    </xf>
    <xf numFmtId="186" fontId="61" fillId="0" borderId="0" xfId="2" applyNumberFormat="1" applyFont="1" applyFill="1" applyBorder="1" applyAlignment="1">
      <alignment vertical="center" wrapText="1"/>
    </xf>
    <xf numFmtId="9" fontId="61" fillId="0" borderId="0" xfId="1" applyFont="1" applyFill="1" applyBorder="1" applyAlignment="1">
      <alignment vertical="center" wrapText="1"/>
    </xf>
    <xf numFmtId="9" fontId="61" fillId="0" borderId="4" xfId="1" applyFont="1" applyFill="1" applyBorder="1" applyAlignment="1">
      <alignment vertical="center" wrapText="1"/>
    </xf>
    <xf numFmtId="186" fontId="61" fillId="0" borderId="3" xfId="2" applyNumberFormat="1" applyFont="1" applyFill="1" applyBorder="1" applyAlignment="1">
      <alignment vertical="center" wrapText="1"/>
    </xf>
    <xf numFmtId="9" fontId="61" fillId="0" borderId="77" xfId="1" applyFont="1" applyFill="1" applyBorder="1" applyAlignment="1">
      <alignment vertical="center" wrapText="1"/>
    </xf>
    <xf numFmtId="178" fontId="22" fillId="14" borderId="57" xfId="1" applyNumberFormat="1" applyFont="1" applyFill="1" applyBorder="1" applyAlignment="1">
      <alignment vertical="center" wrapText="1"/>
    </xf>
    <xf numFmtId="178" fontId="22" fillId="14" borderId="60" xfId="1" applyNumberFormat="1" applyFont="1" applyFill="1" applyBorder="1" applyAlignment="1">
      <alignment vertical="center" wrapText="1"/>
    </xf>
    <xf numFmtId="41" fontId="13" fillId="14" borderId="3" xfId="2" applyFont="1" applyFill="1" applyBorder="1" applyAlignment="1">
      <alignment vertical="center" wrapText="1"/>
    </xf>
    <xf numFmtId="9" fontId="22" fillId="14" borderId="0" xfId="1" applyFont="1" applyFill="1" applyBorder="1" applyAlignment="1">
      <alignment vertical="center" wrapText="1"/>
    </xf>
    <xf numFmtId="9" fontId="22" fillId="14" borderId="77" xfId="1" applyFont="1" applyFill="1" applyBorder="1" applyAlignment="1">
      <alignment vertical="center" wrapText="1"/>
    </xf>
    <xf numFmtId="41" fontId="13" fillId="14" borderId="0" xfId="2" applyFont="1" applyFill="1" applyBorder="1" applyAlignment="1">
      <alignment vertical="center" wrapText="1"/>
    </xf>
    <xf numFmtId="9" fontId="22" fillId="14" borderId="4" xfId="1" applyFont="1" applyFill="1" applyBorder="1" applyAlignment="1">
      <alignment vertical="center" wrapText="1"/>
    </xf>
    <xf numFmtId="186" fontId="13" fillId="14" borderId="3" xfId="2" applyNumberFormat="1" applyFont="1" applyFill="1" applyBorder="1" applyAlignment="1">
      <alignment vertical="center" wrapText="1"/>
    </xf>
    <xf numFmtId="186" fontId="13" fillId="14" borderId="0" xfId="2" applyNumberFormat="1" applyFont="1" applyFill="1" applyBorder="1" applyAlignment="1">
      <alignment vertical="center" wrapText="1"/>
    </xf>
    <xf numFmtId="0" fontId="6" fillId="7" borderId="3" xfId="0" applyFont="1" applyFill="1" applyBorder="1">
      <alignment vertical="center"/>
    </xf>
    <xf numFmtId="0" fontId="6" fillId="7" borderId="4" xfId="0" applyFont="1" applyFill="1" applyBorder="1">
      <alignment vertical="center"/>
    </xf>
    <xf numFmtId="41" fontId="4" fillId="7" borderId="106" xfId="2" applyFont="1" applyFill="1" applyBorder="1" applyAlignment="1">
      <alignment horizontal="right" vertical="center" wrapText="1"/>
    </xf>
    <xf numFmtId="41" fontId="4" fillId="7" borderId="77" xfId="2" applyFont="1" applyFill="1" applyBorder="1" applyAlignment="1">
      <alignment horizontal="right" vertical="center" wrapText="1"/>
    </xf>
    <xf numFmtId="41" fontId="4" fillId="7" borderId="4" xfId="2" applyFont="1" applyFill="1" applyBorder="1" applyAlignment="1">
      <alignment horizontal="right" vertical="center" wrapText="1"/>
    </xf>
    <xf numFmtId="41" fontId="4" fillId="7" borderId="3" xfId="2" applyFont="1" applyFill="1" applyBorder="1" applyAlignment="1">
      <alignment horizontal="right" vertical="center" wrapText="1"/>
    </xf>
    <xf numFmtId="9" fontId="6" fillId="7" borderId="0" xfId="1" applyFont="1" applyFill="1" applyBorder="1" applyAlignment="1">
      <alignment horizontal="right" vertical="center" wrapText="1"/>
    </xf>
    <xf numFmtId="9" fontId="6" fillId="7" borderId="77" xfId="1" applyFont="1" applyFill="1" applyBorder="1" applyAlignment="1">
      <alignment horizontal="right" vertical="center" wrapText="1"/>
    </xf>
    <xf numFmtId="41" fontId="4" fillId="7" borderId="0" xfId="2" applyFont="1" applyFill="1" applyBorder="1" applyAlignment="1">
      <alignment horizontal="right" vertical="center" wrapText="1"/>
    </xf>
    <xf numFmtId="9" fontId="6" fillId="7" borderId="4" xfId="1" applyFont="1" applyFill="1" applyBorder="1" applyAlignment="1">
      <alignment horizontal="right" vertical="center" wrapText="1"/>
    </xf>
    <xf numFmtId="178" fontId="4" fillId="0" borderId="0" xfId="2" applyNumberFormat="1" applyFont="1" applyBorder="1" applyAlignment="1">
      <alignment vertical="center"/>
    </xf>
    <xf numFmtId="0" fontId="62" fillId="0" borderId="0" xfId="0" applyFont="1">
      <alignment vertical="center"/>
    </xf>
    <xf numFmtId="181" fontId="27" fillId="0" borderId="99" xfId="1" applyNumberFormat="1" applyFont="1" applyBorder="1" applyAlignment="1">
      <alignment horizontal="right" vertical="center" wrapText="1"/>
    </xf>
    <xf numFmtId="9" fontId="27" fillId="0" borderId="0" xfId="1" applyFont="1">
      <alignment vertical="center"/>
    </xf>
    <xf numFmtId="0" fontId="45" fillId="3" borderId="86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180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5" fillId="0" borderId="89" xfId="0" applyFont="1" applyBorder="1">
      <alignment vertical="center"/>
    </xf>
    <xf numFmtId="0" fontId="15" fillId="0" borderId="87" xfId="0" applyFont="1" applyBorder="1">
      <alignment vertical="center"/>
    </xf>
    <xf numFmtId="0" fontId="13" fillId="0" borderId="113" xfId="0" applyFont="1" applyBorder="1" applyAlignment="1">
      <alignment horizontal="center" vertical="center"/>
    </xf>
    <xf numFmtId="0" fontId="13" fillId="0" borderId="114" xfId="0" applyFont="1" applyBorder="1" applyAlignment="1">
      <alignment horizontal="center" vertical="center"/>
    </xf>
    <xf numFmtId="0" fontId="14" fillId="8" borderId="114" xfId="0" applyFont="1" applyFill="1" applyBorder="1" applyAlignment="1">
      <alignment horizontal="center" vertical="center" wrapText="1"/>
    </xf>
    <xf numFmtId="0" fontId="14" fillId="8" borderId="115" xfId="0" applyFont="1" applyFill="1" applyBorder="1" applyAlignment="1">
      <alignment horizontal="center" vertical="center" wrapText="1"/>
    </xf>
    <xf numFmtId="181" fontId="19" fillId="2" borderId="108" xfId="1" applyNumberFormat="1" applyFont="1" applyFill="1" applyBorder="1" applyAlignment="1">
      <alignment horizontal="right" vertical="center" wrapText="1"/>
    </xf>
    <xf numFmtId="181" fontId="4" fillId="0" borderId="0" xfId="1" applyNumberFormat="1" applyFont="1" applyBorder="1" applyAlignment="1">
      <alignment horizontal="right" vertical="center" wrapText="1"/>
    </xf>
    <xf numFmtId="181" fontId="4" fillId="0" borderId="109" xfId="1" applyNumberFormat="1" applyFont="1" applyBorder="1" applyAlignment="1">
      <alignment horizontal="right" vertical="center" wrapText="1"/>
    </xf>
    <xf numFmtId="181" fontId="4" fillId="0" borderId="108" xfId="1" applyNumberFormat="1" applyFont="1" applyBorder="1" applyAlignment="1">
      <alignment horizontal="right" vertical="center" wrapText="1"/>
    </xf>
    <xf numFmtId="180" fontId="14" fillId="8" borderId="113" xfId="0" applyNumberFormat="1" applyFont="1" applyFill="1" applyBorder="1" applyAlignment="1">
      <alignment horizontal="center" vertical="center" wrapText="1"/>
    </xf>
    <xf numFmtId="181" fontId="19" fillId="2" borderId="88" xfId="1" applyNumberFormat="1" applyFont="1" applyFill="1" applyBorder="1" applyAlignment="1">
      <alignment horizontal="right" vertical="center" wrapText="1"/>
    </xf>
    <xf numFmtId="181" fontId="4" fillId="0" borderId="90" xfId="1" applyNumberFormat="1" applyFont="1" applyBorder="1" applyAlignment="1">
      <alignment horizontal="right" vertical="center" wrapText="1"/>
    </xf>
    <xf numFmtId="181" fontId="4" fillId="0" borderId="91" xfId="1" applyNumberFormat="1" applyFont="1" applyBorder="1" applyAlignment="1">
      <alignment horizontal="right" vertical="center" wrapText="1"/>
    </xf>
    <xf numFmtId="181" fontId="4" fillId="0" borderId="88" xfId="1" applyNumberFormat="1" applyFont="1" applyBorder="1" applyAlignment="1">
      <alignment horizontal="right" vertical="center" wrapText="1"/>
    </xf>
    <xf numFmtId="9" fontId="19" fillId="2" borderId="109" xfId="1" applyFont="1" applyFill="1" applyBorder="1" applyAlignment="1">
      <alignment horizontal="right" vertical="center" wrapText="1"/>
    </xf>
    <xf numFmtId="9" fontId="19" fillId="2" borderId="91" xfId="1" applyFont="1" applyFill="1" applyBorder="1" applyAlignment="1">
      <alignment horizontal="right" vertical="center" wrapText="1"/>
    </xf>
    <xf numFmtId="9" fontId="23" fillId="0" borderId="109" xfId="1" applyFont="1" applyFill="1" applyBorder="1" applyAlignment="1">
      <alignment horizontal="right" vertical="center" wrapText="1"/>
    </xf>
    <xf numFmtId="9" fontId="23" fillId="0" borderId="91" xfId="1" applyFont="1" applyFill="1" applyBorder="1" applyAlignment="1">
      <alignment horizontal="right" vertical="center" wrapText="1"/>
    </xf>
    <xf numFmtId="180" fontId="14" fillId="8" borderId="115" xfId="0" applyNumberFormat="1" applyFont="1" applyFill="1" applyBorder="1" applyAlignment="1">
      <alignment horizontal="center" vertical="center" wrapText="1"/>
    </xf>
    <xf numFmtId="186" fontId="4" fillId="9" borderId="83" xfId="2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186" fontId="4" fillId="9" borderId="88" xfId="2" applyNumberFormat="1" applyFont="1" applyFill="1" applyBorder="1" applyAlignment="1">
      <alignment vertical="center" wrapText="1"/>
    </xf>
    <xf numFmtId="9" fontId="4" fillId="0" borderId="0" xfId="1" applyFont="1" applyFill="1" applyBorder="1" applyAlignment="1">
      <alignment vertical="center" wrapText="1"/>
    </xf>
    <xf numFmtId="41" fontId="4" fillId="0" borderId="0" xfId="2" applyFont="1" applyFill="1" applyBorder="1" applyAlignment="1">
      <alignment vertical="center" wrapText="1"/>
    </xf>
    <xf numFmtId="186" fontId="4" fillId="9" borderId="86" xfId="2" applyNumberFormat="1" applyFont="1" applyFill="1" applyBorder="1" applyAlignment="1">
      <alignment vertical="center" wrapText="1"/>
    </xf>
    <xf numFmtId="9" fontId="6" fillId="9" borderId="108" xfId="1" applyFont="1" applyFill="1" applyBorder="1" applyAlignment="1">
      <alignment vertical="center" wrapText="1"/>
    </xf>
    <xf numFmtId="9" fontId="6" fillId="9" borderId="88" xfId="1" applyFont="1" applyFill="1" applyBorder="1" applyAlignment="1">
      <alignment vertical="center" wrapText="1"/>
    </xf>
    <xf numFmtId="9" fontId="6" fillId="9" borderId="110" xfId="1" applyFont="1" applyFill="1" applyBorder="1" applyAlignment="1">
      <alignment vertical="center" wrapText="1"/>
    </xf>
    <xf numFmtId="186" fontId="4" fillId="9" borderId="108" xfId="2" applyNumberFormat="1" applyFont="1" applyFill="1" applyBorder="1" applyAlignment="1">
      <alignment vertical="center" wrapText="1"/>
    </xf>
    <xf numFmtId="186" fontId="2" fillId="0" borderId="0" xfId="2" applyNumberFormat="1" applyFont="1" applyFill="1" applyBorder="1" applyAlignment="1">
      <alignment vertical="center" wrapText="1"/>
    </xf>
    <xf numFmtId="186" fontId="4" fillId="0" borderId="0" xfId="2" applyNumberFormat="1" applyFont="1" applyFill="1" applyBorder="1" applyAlignment="1">
      <alignment vertical="center" wrapText="1"/>
    </xf>
    <xf numFmtId="186" fontId="4" fillId="7" borderId="87" xfId="2" applyNumberFormat="1" applyFont="1" applyFill="1" applyBorder="1" applyAlignment="1">
      <alignment vertical="center" wrapText="1"/>
    </xf>
    <xf numFmtId="186" fontId="4" fillId="7" borderId="85" xfId="2" applyNumberFormat="1" applyFont="1" applyFill="1" applyBorder="1" applyAlignment="1">
      <alignment vertical="center" wrapText="1"/>
    </xf>
    <xf numFmtId="186" fontId="4" fillId="7" borderId="89" xfId="2" applyNumberFormat="1" applyFont="1" applyFill="1" applyBorder="1" applyAlignment="1">
      <alignment vertical="center" wrapText="1"/>
    </xf>
    <xf numFmtId="186" fontId="4" fillId="7" borderId="84" xfId="2" applyNumberFormat="1" applyFont="1" applyFill="1" applyBorder="1" applyAlignment="1">
      <alignment vertical="center" wrapText="1"/>
    </xf>
    <xf numFmtId="186" fontId="4" fillId="9" borderId="89" xfId="2" applyNumberFormat="1" applyFont="1" applyFill="1" applyBorder="1" applyAlignment="1">
      <alignment vertical="center" wrapText="1"/>
    </xf>
    <xf numFmtId="186" fontId="20" fillId="9" borderId="89" xfId="2" applyNumberFormat="1" applyFont="1" applyFill="1" applyBorder="1" applyAlignment="1">
      <alignment vertical="center" wrapText="1"/>
    </xf>
    <xf numFmtId="186" fontId="4" fillId="9" borderId="84" xfId="2" applyNumberFormat="1" applyFont="1" applyFill="1" applyBorder="1" applyAlignment="1">
      <alignment vertical="center" wrapText="1"/>
    </xf>
    <xf numFmtId="186" fontId="13" fillId="0" borderId="87" xfId="2" applyNumberFormat="1" applyFont="1" applyFill="1" applyBorder="1" applyAlignment="1">
      <alignment vertical="center" wrapText="1"/>
    </xf>
    <xf numFmtId="186" fontId="13" fillId="0" borderId="85" xfId="2" applyNumberFormat="1" applyFont="1" applyFill="1" applyBorder="1" applyAlignment="1">
      <alignment vertical="center" wrapText="1"/>
    </xf>
    <xf numFmtId="0" fontId="4" fillId="0" borderId="108" xfId="0" applyFont="1" applyBorder="1" applyAlignment="1">
      <alignment horizontal="left" vertical="center"/>
    </xf>
    <xf numFmtId="0" fontId="4" fillId="0" borderId="109" xfId="0" applyFont="1" applyBorder="1" applyAlignment="1">
      <alignment horizontal="left" vertical="center"/>
    </xf>
    <xf numFmtId="176" fontId="20" fillId="2" borderId="53" xfId="2" applyNumberFormat="1" applyFont="1" applyFill="1" applyBorder="1" applyAlignment="1">
      <alignment horizontal="center" vertical="center" wrapText="1"/>
    </xf>
    <xf numFmtId="180" fontId="14" fillId="8" borderId="116" xfId="0" applyNumberFormat="1" applyFont="1" applyFill="1" applyBorder="1" applyAlignment="1">
      <alignment horizontal="center" vertical="center" wrapText="1"/>
    </xf>
    <xf numFmtId="9" fontId="22" fillId="0" borderId="109" xfId="1" applyFont="1" applyFill="1" applyBorder="1" applyAlignment="1">
      <alignment vertical="center" wrapText="1"/>
    </xf>
    <xf numFmtId="9" fontId="22" fillId="0" borderId="91" xfId="1" applyFont="1" applyFill="1" applyBorder="1" applyAlignment="1">
      <alignment vertical="center" wrapText="1"/>
    </xf>
    <xf numFmtId="0" fontId="63" fillId="0" borderId="0" xfId="0" applyFont="1">
      <alignment vertical="center"/>
    </xf>
    <xf numFmtId="9" fontId="20" fillId="0" borderId="0" xfId="1" applyFont="1" applyFill="1" applyBorder="1">
      <alignment vertical="center"/>
    </xf>
    <xf numFmtId="41" fontId="2" fillId="15" borderId="112" xfId="2" applyFont="1" applyFill="1" applyBorder="1" applyAlignment="1">
      <alignment horizontal="center" vertical="center"/>
    </xf>
    <xf numFmtId="41" fontId="2" fillId="15" borderId="0" xfId="2" applyFont="1" applyFill="1" applyBorder="1" applyAlignment="1">
      <alignment horizontal="center" vertical="center"/>
    </xf>
    <xf numFmtId="41" fontId="2" fillId="15" borderId="77" xfId="2" applyFont="1" applyFill="1" applyBorder="1" applyAlignment="1">
      <alignment horizontal="center" vertical="center"/>
    </xf>
    <xf numFmtId="41" fontId="2" fillId="15" borderId="112" xfId="2" applyFont="1" applyFill="1" applyBorder="1" applyAlignment="1">
      <alignment horizontal="center" vertical="center" wrapText="1"/>
    </xf>
    <xf numFmtId="41" fontId="2" fillId="15" borderId="0" xfId="2" applyFont="1" applyFill="1" applyBorder="1" applyAlignment="1">
      <alignment horizontal="center" vertical="center" wrapText="1"/>
    </xf>
    <xf numFmtId="41" fontId="2" fillId="15" borderId="77" xfId="2" applyFont="1" applyFill="1" applyBorder="1" applyAlignment="1">
      <alignment horizontal="center" vertical="center" wrapText="1"/>
    </xf>
    <xf numFmtId="41" fontId="2" fillId="15" borderId="112" xfId="2" applyFont="1" applyFill="1" applyBorder="1" applyAlignment="1">
      <alignment vertical="center"/>
    </xf>
  </cellXfs>
  <cellStyles count="3">
    <cellStyle name="백분율" xfId="1" builtinId="5"/>
    <cellStyle name="쉼표 [0]" xfId="2" builtinId="6"/>
    <cellStyle name="표준" xfId="0" builtinId="0"/>
  </cellStyles>
  <dxfs count="314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theme="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FCA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서정민" id="{ACCAD60D-E6F4-4B1A-A6FC-1948F7D84408}" userId="S::jmseo@classys.com::0d72b9fc-4523-437c-8367-358318a34c93" providerId="AD"/>
</personList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9" dT="2025-11-09T04:40:46.28" personId="{ACCAD60D-E6F4-4B1A-A6FC-1948F7D84408}" id="{9785C506-FF35-471A-8860-1BC165091480}">
    <text xml:space="preserve">1Q25부터 기존 '기타금융자산' 항목이 현재 '기타채권'로 합산되었습니다.
The previous "Other Financial Assets" category has since 1Q25 been consolidated into "Other Receivables."
</text>
  </threadedComment>
  <threadedComment ref="BB9" dT="2025-07-11T07:20:42.57" personId="{ACCAD60D-E6F4-4B1A-A6FC-1948F7D84408}" id="{B405E5B7-B2FB-4891-A45E-1203048076CE}">
    <text>받을어음 39백만원 포함</text>
  </threadedComment>
  <threadedComment ref="CC9" dT="2025-05-09T07:17:25.16" personId="{ACCAD60D-E6F4-4B1A-A6FC-1948F7D84408}" id="{DBC6651E-9103-4DBA-B3F4-83765BD5B851}">
    <text xml:space="preserve">1Q25부터 기존 '기타금융자산' 항목이 현재 '기타채권'로 합산되었습니다.
The previous "Other Financial Assets" category has since 1Q25 been consolidated into "Other Receivables."
</text>
  </threadedComment>
  <threadedComment ref="CF9" dT="2025-05-09T07:17:25.16" personId="{ACCAD60D-E6F4-4B1A-A6FC-1948F7D84408}" id="{66249436-EFA7-47C7-AA9F-616594C29403}">
    <text>1Q25부터 기존 '기타금융자산' 항목이 현재 '기타채권'로 합산되었습니다.
The previous "Other Financial Assets" category has since 1Q25 been consolidated into "Other Receivables."</text>
  </threadedComment>
  <threadedComment ref="CI9" dT="2025-05-09T07:17:25.16" personId="{ACCAD60D-E6F4-4B1A-A6FC-1948F7D84408}" id="{E9535F5E-E242-4B01-9B20-6EBFD74487BD}">
    <text>1Q25부터 기존 '기타금융자산' 항목이 현재 '기타채권'로 합산되었습니다.
The previous "Other Financial Assets" category has since 1Q25 been consolidated into "Other Receivables."</text>
  </threadedComment>
  <threadedComment ref="C11" dT="2025-11-09T04:40:41.14" personId="{ACCAD60D-E6F4-4B1A-A6FC-1948F7D84408}" id="{7867A22F-7FB6-4840-8468-51864A21898C}">
    <text xml:space="preserve">1Q25부터 기존 '기타금융자산' 항목이 현재 '기타채권'로 합산되었습니다.
The previous "Other Financial Assets" category has since 1Q25 been consolidated into "Other Receivables."
</text>
  </threadedComment>
  <threadedComment ref="CC11" dT="2025-05-09T07:17:34.84" personId="{ACCAD60D-E6F4-4B1A-A6FC-1948F7D84408}" id="{F0A016D4-7766-45A9-8286-17D65AAD55FE}">
    <text xml:space="preserve">1Q25부터 기존 '기타금융자산' 항목이 현재 '기타채권'로 합산되었습니다.
The previous "Other Financial Assets" category has since 1Q25 been consolidated into "Other Receivables."
</text>
  </threadedComment>
  <threadedComment ref="CF11" dT="2025-05-09T07:17:34.84" personId="{ACCAD60D-E6F4-4B1A-A6FC-1948F7D84408}" id="{7BD38D1E-42D3-415D-9C83-5015887E1C61}">
    <text xml:space="preserve">1Q25부터 기존 '기타금융자산' 항목이 현재 '기타채권'로 합산되었습니다.
The previous "Other Financial Assets" category has since 1Q25 been consolidated into "Other Receivables."
</text>
  </threadedComment>
  <threadedComment ref="CI11" dT="2025-05-09T07:17:34.84" personId="{ACCAD60D-E6F4-4B1A-A6FC-1948F7D84408}" id="{6108F04A-54AA-491C-B813-ED1075260CA9}">
    <text xml:space="preserve">1Q25부터 기존 '기타금융자산' 항목이 현재 '기타채권'로 합산되었습니다.
The previous "Other Financial Assets" category has since 1Q25 been consolidated into "Other Receivables."
</text>
  </threadedComment>
  <threadedComment ref="C28" dT="2025-11-09T04:40:18.53" personId="{ACCAD60D-E6F4-4B1A-A6FC-1948F7D84408}" id="{97EBB69F-0417-47A1-9C9B-2A5181EC23E5}">
    <text xml:space="preserve">1Q25 부터 기존 '기타금융부채' 항목이 현재 '기타채무'로 합산되었습니다.
The previous "Other Financial Liabilities" category has since 1Q25 been consolidated into "Other Liabilities."
</text>
  </threadedComment>
  <threadedComment ref="CC28" dT="2025-08-01T01:46:18.67" personId="{ACCAD60D-E6F4-4B1A-A6FC-1948F7D84408}" id="{8110D24A-E566-4B96-AC84-E2143C9ED3E8}">
    <text xml:space="preserve">1Q25 부터 기존 '기타금융부채' 항목이 현재 '기타채무'로 합산되었습니다.
The previous "Other Financial Liabilities" category has since 1Q25 been consolidated into "Other Liabilities."
</text>
  </threadedComment>
  <threadedComment ref="CF28" dT="2025-08-01T01:46:21.71" personId="{ACCAD60D-E6F4-4B1A-A6FC-1948F7D84408}" id="{7078CB20-2AAF-4561-8CF3-72BEF9B03D07}">
    <text xml:space="preserve">1Q25 부터 기존 '기타금융부채' 항목이 현재 '기타채무'로 합산되었습니다.
The previous "Other Financial Liabilities" category has since 1Q25 been consolidated into "Other Liabilities."
</text>
  </threadedComment>
  <threadedComment ref="CI28" dT="2025-08-01T01:46:21.71" personId="{ACCAD60D-E6F4-4B1A-A6FC-1948F7D84408}" id="{2B6B770B-7276-4A36-8A7D-8695C402EC11}">
    <text xml:space="preserve">1Q25 부터 기존 '기타금융부채' 항목이 현재 '기타채무'로 합산되었습니다.
The previous "Other Financial Liabilities" category has since 1Q25 been consolidated into "Other Liabilities."
</text>
  </threadedComment>
  <threadedComment ref="C31" dT="2025-11-09T04:40:29.11" personId="{ACCAD60D-E6F4-4B1A-A6FC-1948F7D84408}" id="{C48F8158-7E36-4778-B251-0A1ECEF3A752}">
    <text xml:space="preserve">1Q25 부터 기존 '기타금융부채' 항목이 현재 '기타채무'로 합산되었습니다.
The previous "Other Financial Liabilities" category has since 1Q25 been consolidated into "Other Liabilities."
</text>
  </threadedComment>
  <threadedComment ref="CC31" dT="2025-05-09T07:17:10.01" personId="{ACCAD60D-E6F4-4B1A-A6FC-1948F7D84408}" id="{CA2A8730-3E3B-459D-B13D-C522E732B782}">
    <text xml:space="preserve">1Q25 부터 기존 '기타금융부채' 항목이 현재 '기타채무'로 합산되었습니다.
The previous "Other Financial Liabilities" category has since 1Q25 been consolidated into "Other Liabilities."
</text>
  </threadedComment>
  <threadedComment ref="CF31" dT="2025-05-09T07:17:10.01" personId="{ACCAD60D-E6F4-4B1A-A6FC-1948F7D84408}" id="{6EC75C76-E6EF-4DC7-BF42-BD8598BB3D8E}">
    <text xml:space="preserve">1Q25 부터 기존 '기타금융부채' 항목이 현재 '기타채무'로 합산되었습니다.
The previous "Other Financial Liabilities" category has since 1Q25 been consolidated into "Other Liabilities."
</text>
  </threadedComment>
  <threadedComment ref="CI31" dT="2025-05-09T07:17:10.01" personId="{ACCAD60D-E6F4-4B1A-A6FC-1948F7D84408}" id="{2476AB0D-2ED6-4E45-8DCE-A43B5A4B1392}">
    <text xml:space="preserve">1Q25 부터 기존 '기타금융부채' 항목이 현재 '기타채무'로 합산되었습니다.
The previous "Other Financial Liabilities" category has since 1Q25 been consolidated into "Other Liabilities."
</text>
  </threadedComment>
  <threadedComment ref="C79" dT="2025-11-09T04:59:31.47" personId="{ACCAD60D-E6F4-4B1A-A6FC-1948F7D84408}" id="{10940C18-F07F-4696-97AD-72537C3CC04A}">
    <text xml:space="preserve">1Q25 부터 기존 '기타금융부채' 항목이 현재 '기타채무'로 합산되었습니다.
The previous "Other Financial Liabilities" category has since 1Q25 been consolidated into "Other Liabilities."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79" dT="2025-11-09T04:59:31.47" personId="{ACCAD60D-E6F4-4B1A-A6FC-1948F7D84408}" id="{D2DDA040-457E-460D-971F-9E1F4925B773}">
    <text xml:space="preserve">1Q25 부터 기존 '기타금융부채' 항목이 현재 '기타채무'로 합산되었습니다.
The previous "Other Financial Liabilities" category has since 1Q25 been consolidated into "Other Liabilities."
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3CC0E-0061-4A91-BBB4-715082756B1A}">
  <sheetPr>
    <tabColor theme="8"/>
  </sheetPr>
  <dimension ref="A1"/>
  <sheetViews>
    <sheetView zoomScale="70" zoomScaleNormal="70" workbookViewId="0">
      <selection activeCell="B1" sqref="B1:B1048576"/>
    </sheetView>
  </sheetViews>
  <sheetFormatPr defaultRowHeight="17.399999999999999" x14ac:dyDescent="0.4"/>
  <sheetData/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C7D76-9040-4016-A65D-DF35E1672DB7}">
  <sheetPr>
    <pageSetUpPr fitToPage="1"/>
  </sheetPr>
  <dimension ref="A1:U108"/>
  <sheetViews>
    <sheetView showGridLines="0" view="pageBreakPreview" zoomScaleNormal="100" zoomScaleSheetLayoutView="100" workbookViewId="0">
      <pane xSplit="3" ySplit="2" topLeftCell="D3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ColWidth="8.69921875" defaultRowHeight="16.2" customHeight="1" outlineLevelRow="1" outlineLevelCol="1" x14ac:dyDescent="0.4"/>
  <cols>
    <col min="1" max="1" width="3.19921875" style="156" customWidth="1"/>
    <col min="2" max="2" width="14.19921875" style="6" customWidth="1"/>
    <col min="3" max="3" width="26.69921875" style="6" bestFit="1" customWidth="1"/>
    <col min="4" max="5" width="9.19921875" style="359" customWidth="1" outlineLevel="1"/>
    <col min="6" max="6" width="5.69921875" style="360" customWidth="1" outlineLevel="1"/>
    <col min="7" max="7" width="9.19921875" style="359" customWidth="1" outlineLevel="1"/>
    <col min="8" max="8" width="5.69921875" style="360" customWidth="1" outlineLevel="1"/>
    <col min="9" max="9" width="9.19921875" style="359" customWidth="1" outlineLevel="1"/>
    <col min="10" max="10" width="5.69921875" style="360" customWidth="1" outlineLevel="1"/>
    <col min="11" max="11" width="9.19921875" style="359" customWidth="1" outlineLevel="1"/>
    <col min="12" max="12" width="5.69921875" style="360" customWidth="1" outlineLevel="1"/>
    <col min="13" max="13" width="9.19921875" style="359" customWidth="1" outlineLevel="1"/>
    <col min="14" max="14" width="5.69921875" style="360" customWidth="1" outlineLevel="1"/>
    <col min="15" max="15" width="9.19921875" style="359" customWidth="1"/>
    <col min="16" max="16" width="5.69921875" style="360" customWidth="1"/>
    <col min="17" max="17" width="9.19921875" style="359" customWidth="1"/>
    <col min="18" max="18" width="5.69921875" style="360" customWidth="1"/>
    <col min="19" max="16384" width="8.69921875" style="11"/>
  </cols>
  <sheetData>
    <row r="1" spans="1:21" ht="16.2" customHeight="1" thickBot="1" x14ac:dyDescent="0.45">
      <c r="A1" s="157"/>
      <c r="B1" s="4" t="s">
        <v>267</v>
      </c>
      <c r="C1" s="4"/>
      <c r="Q1" s="846" t="s">
        <v>405</v>
      </c>
    </row>
    <row r="2" spans="1:21" s="140" customFormat="1" ht="16.2" customHeight="1" x14ac:dyDescent="0.4">
      <c r="A2" s="156"/>
      <c r="B2" s="105" t="str">
        <f>'SG&amp;A_Quarterly'!B2</f>
        <v>(단위 : 백만원)</v>
      </c>
      <c r="C2" s="106" t="str">
        <f>'SG&amp;A_Quarterly'!C2</f>
        <v>(Unit: Million KRW)</v>
      </c>
      <c r="D2" s="779">
        <v>2017</v>
      </c>
      <c r="E2" s="361">
        <v>2018</v>
      </c>
      <c r="F2" s="362" t="s">
        <v>0</v>
      </c>
      <c r="G2" s="361">
        <v>2019</v>
      </c>
      <c r="H2" s="362" t="s">
        <v>0</v>
      </c>
      <c r="I2" s="361">
        <v>2020</v>
      </c>
      <c r="J2" s="362" t="s">
        <v>0</v>
      </c>
      <c r="K2" s="361">
        <v>2021</v>
      </c>
      <c r="L2" s="362" t="s">
        <v>0</v>
      </c>
      <c r="M2" s="361">
        <v>2022</v>
      </c>
      <c r="N2" s="362" t="s">
        <v>0</v>
      </c>
      <c r="O2" s="361">
        <v>2023</v>
      </c>
      <c r="P2" s="362" t="s">
        <v>0</v>
      </c>
      <c r="Q2" s="361">
        <v>2024</v>
      </c>
      <c r="R2" s="362" t="s">
        <v>0</v>
      </c>
      <c r="S2" s="11"/>
    </row>
    <row r="3" spans="1:21" s="21" customFormat="1" ht="16.2" customHeight="1" x14ac:dyDescent="0.4">
      <c r="A3" s="156"/>
      <c r="B3" s="107" t="str">
        <f>'SG&amp;A_Quarterly'!B3</f>
        <v>급여</v>
      </c>
      <c r="C3" s="108" t="str">
        <f>'SG&amp;A_Quarterly'!C3</f>
        <v>Salaries</v>
      </c>
      <c r="D3" s="752">
        <v>4405.8180000000002</v>
      </c>
      <c r="E3" s="367">
        <v>6188.9480000000003</v>
      </c>
      <c r="F3" s="368">
        <f t="shared" ref="F3:F29" si="0">E3/D3-1</f>
        <v>0.40472166576104596</v>
      </c>
      <c r="G3" s="367">
        <v>7740.0239999999994</v>
      </c>
      <c r="H3" s="368">
        <f t="shared" ref="H3:H29" si="1">G3/E3-1</f>
        <v>0.25062029928188112</v>
      </c>
      <c r="I3" s="367">
        <v>8366.6479999999992</v>
      </c>
      <c r="J3" s="368">
        <f t="shared" ref="J3:J13" si="2">I3/G3-1</f>
        <v>8.0958922091197705E-2</v>
      </c>
      <c r="K3" s="367">
        <v>9137.4449999999997</v>
      </c>
      <c r="L3" s="368">
        <f t="shared" ref="L3:L13" si="3">K3/I3-1</f>
        <v>9.2127337017166244E-2</v>
      </c>
      <c r="M3" s="367">
        <v>10022.963778000001</v>
      </c>
      <c r="N3" s="368">
        <f t="shared" ref="N3:P13" si="4">M3/K3-1</f>
        <v>9.6910983103044801E-2</v>
      </c>
      <c r="O3" s="367">
        <v>9671.0910000000003</v>
      </c>
      <c r="P3" s="368">
        <f t="shared" si="4"/>
        <v>-3.5106659646156446E-2</v>
      </c>
      <c r="Q3" s="367">
        <v>12486.143</v>
      </c>
      <c r="R3" s="368">
        <f t="shared" ref="R3:R13" si="5">Q3/O3-1</f>
        <v>0.29107905199113526</v>
      </c>
      <c r="S3" s="11"/>
    </row>
    <row r="4" spans="1:21" s="21" customFormat="1" ht="16.2" customHeight="1" x14ac:dyDescent="0.4">
      <c r="A4" s="156"/>
      <c r="B4" s="109" t="str">
        <f>'SG&amp;A_Quarterly'!B4</f>
        <v>경상연구개발비</v>
      </c>
      <c r="C4" s="108" t="str">
        <f>'SG&amp;A_Quarterly'!C4</f>
        <v>R&amp;D Expenses</v>
      </c>
      <c r="D4" s="752">
        <v>1527.058</v>
      </c>
      <c r="E4" s="367">
        <v>1528.768</v>
      </c>
      <c r="F4" s="368">
        <f t="shared" si="0"/>
        <v>1.1198002957319986E-3</v>
      </c>
      <c r="G4" s="367">
        <v>1923.598</v>
      </c>
      <c r="H4" s="368">
        <f t="shared" si="1"/>
        <v>0.25826678737388531</v>
      </c>
      <c r="I4" s="367">
        <v>3115.05</v>
      </c>
      <c r="J4" s="368">
        <f t="shared" si="2"/>
        <v>0.61938721084135051</v>
      </c>
      <c r="K4" s="367">
        <v>4700.5929999999998</v>
      </c>
      <c r="L4" s="368">
        <f t="shared" si="3"/>
        <v>0.50899439816375325</v>
      </c>
      <c r="M4" s="367">
        <v>4429.7771059999995</v>
      </c>
      <c r="N4" s="368">
        <f t="shared" si="4"/>
        <v>-5.7613133917359005E-2</v>
      </c>
      <c r="O4" s="367">
        <v>9200.643</v>
      </c>
      <c r="P4" s="368">
        <f t="shared" si="4"/>
        <v>1.0769990859219547</v>
      </c>
      <c r="Q4" s="367">
        <v>12617.668000000001</v>
      </c>
      <c r="R4" s="368">
        <f t="shared" si="5"/>
        <v>0.37138980395174581</v>
      </c>
      <c r="S4" s="11"/>
    </row>
    <row r="5" spans="1:21" s="21" customFormat="1" ht="16.2" customHeight="1" x14ac:dyDescent="0.4">
      <c r="A5" s="156"/>
      <c r="B5" s="109" t="str">
        <f>'SG&amp;A_Quarterly'!B5</f>
        <v>광고선전비</v>
      </c>
      <c r="C5" s="108" t="str">
        <f>'SG&amp;A_Quarterly'!C5</f>
        <v>Advertising</v>
      </c>
      <c r="D5" s="752">
        <v>1312.066</v>
      </c>
      <c r="E5" s="367">
        <v>1347.8890000000001</v>
      </c>
      <c r="F5" s="368">
        <f t="shared" si="0"/>
        <v>2.7302742392532053E-2</v>
      </c>
      <c r="G5" s="367">
        <v>2343.8130000000001</v>
      </c>
      <c r="H5" s="368">
        <f t="shared" si="1"/>
        <v>0.73887686597338487</v>
      </c>
      <c r="I5" s="367">
        <v>840.21799999999985</v>
      </c>
      <c r="J5" s="368">
        <f t="shared" si="2"/>
        <v>-0.64151662269984855</v>
      </c>
      <c r="K5" s="367">
        <v>4215.0730000000003</v>
      </c>
      <c r="L5" s="368">
        <f t="shared" si="3"/>
        <v>4.0166421095477611</v>
      </c>
      <c r="M5" s="367">
        <v>5914.1873810000006</v>
      </c>
      <c r="N5" s="368">
        <f t="shared" si="4"/>
        <v>0.40310437826343692</v>
      </c>
      <c r="O5" s="367">
        <v>9029.7379999999994</v>
      </c>
      <c r="P5" s="368">
        <f t="shared" si="4"/>
        <v>0.52679267975327582</v>
      </c>
      <c r="Q5" s="367">
        <v>12820.741999999998</v>
      </c>
      <c r="R5" s="368">
        <f t="shared" si="5"/>
        <v>0.41983543708577131</v>
      </c>
      <c r="S5" s="11"/>
    </row>
    <row r="6" spans="1:21" s="21" customFormat="1" ht="16.2" customHeight="1" x14ac:dyDescent="0.4">
      <c r="A6" s="156"/>
      <c r="B6" s="110" t="str">
        <f>'SG&amp;A_Quarterly'!B6</f>
        <v>지급수수료</v>
      </c>
      <c r="C6" s="111" t="str">
        <f>'SG&amp;A_Quarterly'!C6</f>
        <v>Commission</v>
      </c>
      <c r="D6" s="754">
        <v>1381.8040000000001</v>
      </c>
      <c r="E6" s="373">
        <v>1647.8549999999998</v>
      </c>
      <c r="F6" s="374">
        <f t="shared" si="0"/>
        <v>0.19253888395170349</v>
      </c>
      <c r="G6" s="373">
        <v>2540.9119999999998</v>
      </c>
      <c r="H6" s="374">
        <f t="shared" si="1"/>
        <v>0.54195120323086687</v>
      </c>
      <c r="I6" s="373">
        <v>2825.7939999999999</v>
      </c>
      <c r="J6" s="374">
        <f t="shared" si="2"/>
        <v>0.11211801117079223</v>
      </c>
      <c r="K6" s="373">
        <v>2264.7820000000002</v>
      </c>
      <c r="L6" s="374">
        <f t="shared" si="3"/>
        <v>-0.19853251864785604</v>
      </c>
      <c r="M6" s="373">
        <v>6676.4098190000004</v>
      </c>
      <c r="N6" s="374">
        <f t="shared" si="4"/>
        <v>1.9479260339405737</v>
      </c>
      <c r="O6" s="373">
        <v>7499.3389999999999</v>
      </c>
      <c r="P6" s="374">
        <f t="shared" si="4"/>
        <v>0.12325923712143516</v>
      </c>
      <c r="Q6" s="373">
        <v>10395.455000000002</v>
      </c>
      <c r="R6" s="374">
        <f t="shared" si="5"/>
        <v>0.38618283558057609</v>
      </c>
      <c r="S6" s="11"/>
    </row>
    <row r="7" spans="1:21" s="21" customFormat="1" ht="16.2" customHeight="1" x14ac:dyDescent="0.4">
      <c r="A7" s="156"/>
      <c r="B7" s="110" t="str">
        <f>'SG&amp;A_Quarterly'!B7</f>
        <v>판매수수료</v>
      </c>
      <c r="C7" s="111" t="str">
        <f>'SG&amp;A_Quarterly'!C7</f>
        <v xml:space="preserve">Sales Commissions </v>
      </c>
      <c r="D7" s="754">
        <v>1131.7339999999999</v>
      </c>
      <c r="E7" s="373">
        <v>1599.3979999999999</v>
      </c>
      <c r="F7" s="374">
        <f t="shared" si="0"/>
        <v>0.41322784329179818</v>
      </c>
      <c r="G7" s="373">
        <v>1908.2040000000002</v>
      </c>
      <c r="H7" s="374">
        <f t="shared" si="1"/>
        <v>0.19307639499361651</v>
      </c>
      <c r="I7" s="373">
        <v>926.50200000000007</v>
      </c>
      <c r="J7" s="374">
        <f t="shared" si="2"/>
        <v>-0.5144638623543395</v>
      </c>
      <c r="K7" s="373">
        <v>714.71399999999994</v>
      </c>
      <c r="L7" s="374">
        <f t="shared" si="3"/>
        <v>-0.22858882117901536</v>
      </c>
      <c r="M7" s="373">
        <v>3826.2594979999994</v>
      </c>
      <c r="N7" s="374">
        <f t="shared" si="4"/>
        <v>4.3535533066373402</v>
      </c>
      <c r="O7" s="373">
        <v>3195.529</v>
      </c>
      <c r="P7" s="374">
        <f t="shared" si="4"/>
        <v>-0.16484258277037522</v>
      </c>
      <c r="Q7" s="373">
        <v>3423.7660000000001</v>
      </c>
      <c r="R7" s="374">
        <f t="shared" si="5"/>
        <v>7.1423855017432203E-2</v>
      </c>
      <c r="S7" s="11"/>
    </row>
    <row r="8" spans="1:21" s="21" customFormat="1" ht="16.8" customHeight="1" x14ac:dyDescent="0.4">
      <c r="A8" s="156"/>
      <c r="B8" s="110" t="str">
        <f>'SG&amp;A_Quarterly'!B8</f>
        <v>감가상각비</v>
      </c>
      <c r="C8" s="111" t="str">
        <f>'SG&amp;A_Quarterly'!C8</f>
        <v>Depreciation</v>
      </c>
      <c r="D8" s="754">
        <v>187.054</v>
      </c>
      <c r="E8" s="373">
        <v>472.65399999999994</v>
      </c>
      <c r="F8" s="374">
        <f t="shared" si="0"/>
        <v>1.5268318239652716</v>
      </c>
      <c r="G8" s="373">
        <v>665.14400000000001</v>
      </c>
      <c r="H8" s="374">
        <f t="shared" si="1"/>
        <v>0.4072535089092657</v>
      </c>
      <c r="I8" s="373">
        <v>739.63800000000003</v>
      </c>
      <c r="J8" s="374">
        <f t="shared" si="2"/>
        <v>0.11199680069278228</v>
      </c>
      <c r="K8" s="373">
        <v>956.85199999999998</v>
      </c>
      <c r="L8" s="374">
        <f t="shared" si="3"/>
        <v>0.29367609560352492</v>
      </c>
      <c r="M8" s="373">
        <v>1430.1504489999998</v>
      </c>
      <c r="N8" s="374">
        <f t="shared" si="4"/>
        <v>0.49464122873756833</v>
      </c>
      <c r="O8" s="373">
        <v>1972.473</v>
      </c>
      <c r="P8" s="374">
        <f t="shared" si="4"/>
        <v>0.37920664317464436</v>
      </c>
      <c r="Q8" s="373">
        <v>2574.8500000000004</v>
      </c>
      <c r="R8" s="374">
        <f t="shared" si="5"/>
        <v>0.30539175948162556</v>
      </c>
      <c r="S8" s="11"/>
    </row>
    <row r="9" spans="1:21" ht="16.2" customHeight="1" x14ac:dyDescent="0.4">
      <c r="B9" s="110" t="str">
        <f>'SG&amp;A_Quarterly'!B9</f>
        <v>무형고정자산상각비</v>
      </c>
      <c r="C9" s="111" t="str">
        <f>'SG&amp;A_Quarterly'!C9</f>
        <v>Amortization of Intangible Assets</v>
      </c>
      <c r="D9" s="754">
        <v>11.363</v>
      </c>
      <c r="E9" s="373">
        <v>23.420999999999999</v>
      </c>
      <c r="F9" s="374">
        <f>E9/D9-1</f>
        <v>1.0611634251518085</v>
      </c>
      <c r="G9" s="373">
        <v>47.698</v>
      </c>
      <c r="H9" s="374">
        <f>G9/E9-1</f>
        <v>1.0365483967379703</v>
      </c>
      <c r="I9" s="373">
        <v>80.17</v>
      </c>
      <c r="J9" s="374">
        <f>I9/G9-1</f>
        <v>0.68078326135267719</v>
      </c>
      <c r="K9" s="373">
        <v>107.55099999999999</v>
      </c>
      <c r="L9" s="374">
        <f>K9/I9-1</f>
        <v>0.34153673443931631</v>
      </c>
      <c r="M9" s="373">
        <v>162.96363100000002</v>
      </c>
      <c r="N9" s="374">
        <f>M9/K9-1</f>
        <v>0.51522190402692702</v>
      </c>
      <c r="O9" s="373">
        <v>251.92400000000001</v>
      </c>
      <c r="P9" s="374">
        <f>O9/M9-1</f>
        <v>0.54589093562845314</v>
      </c>
      <c r="Q9" s="373">
        <v>2166.4760000000001</v>
      </c>
      <c r="R9" s="374">
        <f>Q9/O9-1</f>
        <v>7.5997205506422567</v>
      </c>
      <c r="T9" s="21"/>
      <c r="U9" s="21"/>
    </row>
    <row r="10" spans="1:21" ht="16.2" customHeight="1" x14ac:dyDescent="0.4">
      <c r="B10" s="110" t="str">
        <f>'SG&amp;A_Quarterly'!B10</f>
        <v>퇴직급여</v>
      </c>
      <c r="C10" s="111" t="str">
        <f>'SG&amp;A_Quarterly'!C10</f>
        <v>Retirement benefits</v>
      </c>
      <c r="D10" s="754">
        <v>358.15199999999999</v>
      </c>
      <c r="E10" s="373">
        <v>394.56899999999996</v>
      </c>
      <c r="F10" s="374">
        <f>E10/D10-1</f>
        <v>0.10168029216645436</v>
      </c>
      <c r="G10" s="373">
        <v>481.48200000000003</v>
      </c>
      <c r="H10" s="374">
        <f>G10/E10-1</f>
        <v>0.22027326019023308</v>
      </c>
      <c r="I10" s="373">
        <v>506.62</v>
      </c>
      <c r="J10" s="374">
        <f>I10/G10-1</f>
        <v>5.2209636081930411E-2</v>
      </c>
      <c r="K10" s="373">
        <v>577.90699999999993</v>
      </c>
      <c r="L10" s="374">
        <f>K10/I10-1</f>
        <v>0.14071098653823366</v>
      </c>
      <c r="M10" s="373">
        <v>787.51774899999998</v>
      </c>
      <c r="N10" s="374">
        <f>M10/K10-1</f>
        <v>0.36270671405606802</v>
      </c>
      <c r="O10" s="373">
        <v>747.37899999999718</v>
      </c>
      <c r="P10" s="374">
        <f>O10/M10-1</f>
        <v>-5.0968691246605524E-2</v>
      </c>
      <c r="Q10" s="373">
        <v>921.49300000000005</v>
      </c>
      <c r="R10" s="374">
        <f>Q10/O10-1</f>
        <v>0.23296613900043162</v>
      </c>
      <c r="T10" s="21"/>
      <c r="U10" s="21"/>
    </row>
    <row r="11" spans="1:21" s="21" customFormat="1" ht="16.2" customHeight="1" x14ac:dyDescent="0.4">
      <c r="A11" s="156"/>
      <c r="B11" s="836" t="str">
        <f>'SG&amp;A_Quarterly'!B11</f>
        <v>기타</v>
      </c>
      <c r="C11" s="837" t="str">
        <f>'SG&amp;A_Quarterly'!C11</f>
        <v>Others</v>
      </c>
      <c r="D11" s="838">
        <f>SUM(D12:D35)</f>
        <v>2964.1010000000006</v>
      </c>
      <c r="E11" s="841">
        <f>SUM(E12:E35)</f>
        <v>4067.6200000000003</v>
      </c>
      <c r="F11" s="842">
        <f>E11/D11-1</f>
        <v>0.37229466877140815</v>
      </c>
      <c r="G11" s="841">
        <f t="shared" ref="G11" si="6">SUM(G12:G35)</f>
        <v>4544.7110000000002</v>
      </c>
      <c r="H11" s="842">
        <f>G11/E11-1</f>
        <v>0.11728996317256768</v>
      </c>
      <c r="I11" s="841">
        <f t="shared" ref="I11" si="7">SUM(I12:I35)</f>
        <v>2950.0469999999996</v>
      </c>
      <c r="J11" s="842">
        <f t="shared" ref="J11" si="8">I11/G11-1</f>
        <v>-0.35088347751925275</v>
      </c>
      <c r="K11" s="841">
        <f t="shared" ref="K11" si="9">SUM(K12:K35)</f>
        <v>3465.0260000000007</v>
      </c>
      <c r="L11" s="842">
        <f t="shared" ref="L11" si="10">K11/I11-1</f>
        <v>0.17456637131544039</v>
      </c>
      <c r="M11" s="841">
        <f t="shared" ref="M11" si="11">SUM(M12:M35)</f>
        <v>6040.5869450000009</v>
      </c>
      <c r="N11" s="842">
        <f t="shared" ref="N11" si="12">M11/K11-1</f>
        <v>0.74330205458775778</v>
      </c>
      <c r="O11" s="841">
        <f t="shared" ref="O11" si="13">SUM(O12:O35)</f>
        <v>9258.5659999999989</v>
      </c>
      <c r="P11" s="842">
        <f t="shared" ref="P11" si="14">O11/M11-1</f>
        <v>0.53272622086230026</v>
      </c>
      <c r="Q11" s="841">
        <f t="shared" ref="Q11" si="15">SUM(Q12:Q35)</f>
        <v>11278.340999999997</v>
      </c>
      <c r="R11" s="842">
        <f t="shared" ref="R11" si="16">Q11/O11-1</f>
        <v>0.21815203347905054</v>
      </c>
      <c r="S11" s="11"/>
    </row>
    <row r="12" spans="1:21" s="135" customFormat="1" ht="16.2" customHeight="1" outlineLevel="1" x14ac:dyDescent="0.4">
      <c r="A12" s="156"/>
      <c r="B12" s="112" t="str">
        <f>'SG&amp;A_Quarterly'!B12</f>
        <v>복리후생비</v>
      </c>
      <c r="C12" s="113" t="str">
        <f>'SG&amp;A_Quarterly'!C12</f>
        <v>Employee Benefits</v>
      </c>
      <c r="D12" s="756">
        <v>501.255</v>
      </c>
      <c r="E12" s="379">
        <v>664.06700000000001</v>
      </c>
      <c r="F12" s="380">
        <f t="shared" si="0"/>
        <v>0.32480873008748046</v>
      </c>
      <c r="G12" s="379">
        <v>910.00299999999993</v>
      </c>
      <c r="H12" s="380">
        <f t="shared" si="1"/>
        <v>0.37034817269944131</v>
      </c>
      <c r="I12" s="379">
        <v>840.827</v>
      </c>
      <c r="J12" s="380">
        <f t="shared" si="2"/>
        <v>-7.6017331810993904E-2</v>
      </c>
      <c r="K12" s="379">
        <v>1084.4470000000001</v>
      </c>
      <c r="L12" s="380">
        <f t="shared" si="3"/>
        <v>0.2897385550178575</v>
      </c>
      <c r="M12" s="379">
        <v>1591.4305330000002</v>
      </c>
      <c r="N12" s="380">
        <f t="shared" si="4"/>
        <v>0.46750420536918824</v>
      </c>
      <c r="O12" s="379">
        <v>1434.36</v>
      </c>
      <c r="P12" s="380">
        <f t="shared" si="4"/>
        <v>-9.8697699800887384E-2</v>
      </c>
      <c r="Q12" s="379">
        <v>2094.0329999999999</v>
      </c>
      <c r="R12" s="380">
        <f t="shared" si="5"/>
        <v>0.45990755458880628</v>
      </c>
      <c r="S12" s="11"/>
      <c r="T12" s="21"/>
      <c r="U12" s="21"/>
    </row>
    <row r="13" spans="1:21" s="135" customFormat="1" ht="16.2" customHeight="1" outlineLevel="1" x14ac:dyDescent="0.4">
      <c r="A13" s="156"/>
      <c r="B13" s="112" t="str">
        <f>'SG&amp;A_Quarterly'!B13</f>
        <v>판매보증비</v>
      </c>
      <c r="C13" s="113" t="str">
        <f>'SG&amp;A_Quarterly'!C13</f>
        <v>Warranty Expenses</v>
      </c>
      <c r="D13" s="756">
        <v>278.92200000000003</v>
      </c>
      <c r="E13" s="379">
        <v>707.80200000000002</v>
      </c>
      <c r="F13" s="380">
        <f t="shared" si="0"/>
        <v>1.5376341772968787</v>
      </c>
      <c r="G13" s="379">
        <v>706.80700000000002</v>
      </c>
      <c r="H13" s="380">
        <f t="shared" si="1"/>
        <v>-1.405760368012543E-3</v>
      </c>
      <c r="I13" s="379">
        <v>537.25799999999992</v>
      </c>
      <c r="J13" s="380">
        <f t="shared" si="2"/>
        <v>-0.2398801936030629</v>
      </c>
      <c r="K13" s="379">
        <v>513.26400000000001</v>
      </c>
      <c r="L13" s="380">
        <f t="shared" si="3"/>
        <v>-4.466010743441684E-2</v>
      </c>
      <c r="M13" s="379">
        <v>1159.7526730000002</v>
      </c>
      <c r="N13" s="380">
        <f t="shared" si="4"/>
        <v>1.259563641712647</v>
      </c>
      <c r="O13" s="379">
        <v>1046.046</v>
      </c>
      <c r="P13" s="380">
        <f t="shared" si="4"/>
        <v>-9.8043898192420986E-2</v>
      </c>
      <c r="Q13" s="379">
        <v>883.61500000000001</v>
      </c>
      <c r="R13" s="380">
        <f t="shared" si="5"/>
        <v>-0.15528093410806032</v>
      </c>
      <c r="S13" s="11"/>
      <c r="T13" s="21"/>
      <c r="U13" s="21"/>
    </row>
    <row r="14" spans="1:21" ht="16.2" customHeight="1" outlineLevel="1" x14ac:dyDescent="0.4">
      <c r="B14" s="112" t="str">
        <f>'SG&amp;A_Quarterly'!B14</f>
        <v>주식보상비용</v>
      </c>
      <c r="C14" s="113" t="str">
        <f>'SG&amp;A_Quarterly'!C14</f>
        <v>Share-based Compensation</v>
      </c>
      <c r="D14" s="756">
        <v>77.647999999999996</v>
      </c>
      <c r="E14" s="379">
        <v>79.814999999999998</v>
      </c>
      <c r="F14" s="380">
        <f t="shared" si="0"/>
        <v>2.7907995054605506E-2</v>
      </c>
      <c r="G14" s="379">
        <v>8.1820000000000004</v>
      </c>
      <c r="H14" s="380">
        <f t="shared" si="1"/>
        <v>-0.89748794086324624</v>
      </c>
      <c r="I14" s="379" t="s">
        <v>126</v>
      </c>
      <c r="J14" s="380" t="s">
        <v>126</v>
      </c>
      <c r="K14" s="379" t="s">
        <v>126</v>
      </c>
      <c r="L14" s="380" t="s">
        <v>126</v>
      </c>
      <c r="M14" s="379" t="s">
        <v>126</v>
      </c>
      <c r="N14" s="380" t="s">
        <v>126</v>
      </c>
      <c r="O14" s="379">
        <v>1528.7190000000001</v>
      </c>
      <c r="P14" s="380" t="s">
        <v>126</v>
      </c>
      <c r="Q14" s="379">
        <v>1958.11</v>
      </c>
      <c r="R14" s="380">
        <f t="shared" ref="R14:R29" si="17">Q14/O14-1</f>
        <v>0.28088288298896003</v>
      </c>
      <c r="T14" s="21"/>
      <c r="U14" s="21"/>
    </row>
    <row r="15" spans="1:21" ht="16.2" customHeight="1" outlineLevel="1" x14ac:dyDescent="0.4">
      <c r="B15" s="112" t="str">
        <f>'SG&amp;A_Quarterly'!B15</f>
        <v>여비교통비</v>
      </c>
      <c r="C15" s="113" t="str">
        <f>'SG&amp;A_Quarterly'!C15</f>
        <v>Travel and Transportation Expenses</v>
      </c>
      <c r="D15" s="756">
        <v>427.22500000000002</v>
      </c>
      <c r="E15" s="379">
        <v>432.92999999999995</v>
      </c>
      <c r="F15" s="380">
        <f t="shared" si="0"/>
        <v>1.3353619287260532E-2</v>
      </c>
      <c r="G15" s="379">
        <v>398.91499999999996</v>
      </c>
      <c r="H15" s="380">
        <f t="shared" si="1"/>
        <v>-7.8569283717922045E-2</v>
      </c>
      <c r="I15" s="379">
        <v>38.984999999999999</v>
      </c>
      <c r="J15" s="380">
        <f t="shared" ref="J15:J29" si="18">I15/G15-1</f>
        <v>-0.90227241392276547</v>
      </c>
      <c r="K15" s="379">
        <v>7.3679999999999994</v>
      </c>
      <c r="L15" s="380">
        <f t="shared" ref="L15:L29" si="19">K15/I15-1</f>
        <v>-0.81100423239707586</v>
      </c>
      <c r="M15" s="379">
        <v>312.864215</v>
      </c>
      <c r="N15" s="380">
        <f t="shared" ref="N15:P29" si="20">M15/K15-1</f>
        <v>41.462569896851249</v>
      </c>
      <c r="O15" s="379">
        <v>1011.602</v>
      </c>
      <c r="P15" s="380">
        <f t="shared" si="20"/>
        <v>2.2333579600978015</v>
      </c>
      <c r="Q15" s="379">
        <v>1231.723</v>
      </c>
      <c r="R15" s="380">
        <f t="shared" si="17"/>
        <v>0.21759644603312367</v>
      </c>
      <c r="T15" s="21"/>
      <c r="U15" s="21"/>
    </row>
    <row r="16" spans="1:21" ht="16.2" customHeight="1" outlineLevel="1" x14ac:dyDescent="0.4">
      <c r="B16" s="112" t="str">
        <f>'SG&amp;A_Quarterly'!B16</f>
        <v>접대비</v>
      </c>
      <c r="C16" s="113" t="str">
        <f>'SG&amp;A_Quarterly'!C16</f>
        <v>Entertainment Expenses</v>
      </c>
      <c r="D16" s="756">
        <v>8.8160000000000007</v>
      </c>
      <c r="E16" s="379">
        <v>19.853999999999999</v>
      </c>
      <c r="F16" s="380">
        <f t="shared" si="0"/>
        <v>1.2520417422867509</v>
      </c>
      <c r="G16" s="379">
        <v>108.90300000000002</v>
      </c>
      <c r="H16" s="380">
        <f t="shared" si="1"/>
        <v>4.4851919008763987</v>
      </c>
      <c r="I16" s="379">
        <v>52.594000000000001</v>
      </c>
      <c r="J16" s="380">
        <f t="shared" si="18"/>
        <v>-0.51705646309100772</v>
      </c>
      <c r="K16" s="379">
        <v>37.125000000000007</v>
      </c>
      <c r="L16" s="380">
        <f t="shared" si="19"/>
        <v>-0.29412100239571037</v>
      </c>
      <c r="M16" s="379">
        <v>58.869181999999995</v>
      </c>
      <c r="N16" s="380">
        <f t="shared" si="20"/>
        <v>0.58570187205387159</v>
      </c>
      <c r="O16" s="379">
        <v>180.05600000000001</v>
      </c>
      <c r="P16" s="380">
        <f t="shared" si="20"/>
        <v>2.058578255767169</v>
      </c>
      <c r="Q16" s="379">
        <v>236.85900000000004</v>
      </c>
      <c r="R16" s="380">
        <f t="shared" si="17"/>
        <v>0.31547407473230571</v>
      </c>
      <c r="T16" s="21"/>
      <c r="U16" s="21"/>
    </row>
    <row r="17" spans="1:21" ht="16.2" customHeight="1" outlineLevel="1" x14ac:dyDescent="0.4">
      <c r="B17" s="112" t="str">
        <f>'SG&amp;A_Quarterly'!B17</f>
        <v>통신비</v>
      </c>
      <c r="C17" s="113" t="str">
        <f>'SG&amp;A_Quarterly'!C17</f>
        <v>Communication Expenses</v>
      </c>
      <c r="D17" s="756">
        <v>31.298999999999999</v>
      </c>
      <c r="E17" s="379">
        <v>29.383999999999997</v>
      </c>
      <c r="F17" s="380">
        <f t="shared" si="0"/>
        <v>-6.1184063388606713E-2</v>
      </c>
      <c r="G17" s="379">
        <v>34.828000000000003</v>
      </c>
      <c r="H17" s="380">
        <f t="shared" si="1"/>
        <v>0.1852708957255651</v>
      </c>
      <c r="I17" s="379">
        <v>33.83</v>
      </c>
      <c r="J17" s="380">
        <f t="shared" si="18"/>
        <v>-2.8655105087860511E-2</v>
      </c>
      <c r="K17" s="379">
        <v>35.844000000000001</v>
      </c>
      <c r="L17" s="380">
        <f t="shared" si="19"/>
        <v>5.9532958912208223E-2</v>
      </c>
      <c r="M17" s="379">
        <v>36.580215000000003</v>
      </c>
      <c r="N17" s="380">
        <f t="shared" si="20"/>
        <v>2.0539420823568744E-2</v>
      </c>
      <c r="O17" s="379">
        <v>55.616</v>
      </c>
      <c r="P17" s="380">
        <f t="shared" si="20"/>
        <v>0.52038472163162508</v>
      </c>
      <c r="Q17" s="379">
        <v>58.691999999999993</v>
      </c>
      <c r="R17" s="380">
        <f t="shared" si="17"/>
        <v>5.530782508630594E-2</v>
      </c>
      <c r="T17" s="21"/>
      <c r="U17" s="21"/>
    </row>
    <row r="18" spans="1:21" ht="16.2" customHeight="1" outlineLevel="1" x14ac:dyDescent="0.4">
      <c r="B18" s="112" t="str">
        <f>'SG&amp;A_Quarterly'!B18</f>
        <v>수도광열비</v>
      </c>
      <c r="C18" s="113" t="str">
        <f>'SG&amp;A_Quarterly'!C18</f>
        <v xml:space="preserve">Utilities </v>
      </c>
      <c r="D18" s="756">
        <v>29.652999999999999</v>
      </c>
      <c r="E18" s="379">
        <v>79.475999999999999</v>
      </c>
      <c r="F18" s="380">
        <f t="shared" si="0"/>
        <v>1.6802009914679799</v>
      </c>
      <c r="G18" s="379">
        <v>64.050999999999988</v>
      </c>
      <c r="H18" s="380">
        <f t="shared" si="1"/>
        <v>-0.19408374855302246</v>
      </c>
      <c r="I18" s="379">
        <v>58.138000000000005</v>
      </c>
      <c r="J18" s="380">
        <f t="shared" si="18"/>
        <v>-9.2317059842937366E-2</v>
      </c>
      <c r="K18" s="379">
        <v>82.864000000000004</v>
      </c>
      <c r="L18" s="380">
        <f t="shared" si="19"/>
        <v>0.42529842787849592</v>
      </c>
      <c r="M18" s="379">
        <v>134.354623</v>
      </c>
      <c r="N18" s="380">
        <f t="shared" si="20"/>
        <v>0.62138712830662279</v>
      </c>
      <c r="O18" s="379">
        <v>150.208</v>
      </c>
      <c r="P18" s="380">
        <f t="shared" si="20"/>
        <v>0.1179965128553857</v>
      </c>
      <c r="Q18" s="379">
        <v>182.36199999999999</v>
      </c>
      <c r="R18" s="380">
        <f t="shared" si="17"/>
        <v>0.21406316574350237</v>
      </c>
      <c r="T18" s="21"/>
      <c r="U18" s="21"/>
    </row>
    <row r="19" spans="1:21" ht="16.2" customHeight="1" outlineLevel="1" x14ac:dyDescent="0.4">
      <c r="B19" s="112" t="str">
        <f>'SG&amp;A_Quarterly'!B19</f>
        <v>세금과공과금</v>
      </c>
      <c r="C19" s="113" t="str">
        <f>'SG&amp;A_Quarterly'!C19</f>
        <v>Taxes and Dues</v>
      </c>
      <c r="D19" s="756">
        <v>34.83</v>
      </c>
      <c r="E19" s="379">
        <v>187.953</v>
      </c>
      <c r="F19" s="380">
        <f t="shared" si="0"/>
        <v>4.3962962962962964</v>
      </c>
      <c r="G19" s="379">
        <v>175.70699999999999</v>
      </c>
      <c r="H19" s="380">
        <f t="shared" si="1"/>
        <v>-6.5154586518970214E-2</v>
      </c>
      <c r="I19" s="379">
        <v>194.363</v>
      </c>
      <c r="J19" s="380">
        <f t="shared" si="18"/>
        <v>0.10617676017460886</v>
      </c>
      <c r="K19" s="379">
        <v>180.71099999999998</v>
      </c>
      <c r="L19" s="380">
        <f t="shared" si="19"/>
        <v>-7.0239706116904999E-2</v>
      </c>
      <c r="M19" s="379">
        <v>375.00891499999994</v>
      </c>
      <c r="N19" s="380">
        <f t="shared" si="20"/>
        <v>1.0751858768973666</v>
      </c>
      <c r="O19" s="379">
        <v>418.02100000000002</v>
      </c>
      <c r="P19" s="380">
        <f t="shared" si="20"/>
        <v>0.11469616662313231</v>
      </c>
      <c r="Q19" s="379">
        <v>535.61699999999996</v>
      </c>
      <c r="R19" s="380">
        <f t="shared" si="17"/>
        <v>0.28131601043966681</v>
      </c>
      <c r="T19" s="21"/>
      <c r="U19" s="21"/>
    </row>
    <row r="20" spans="1:21" ht="16.2" customHeight="1" outlineLevel="1" x14ac:dyDescent="0.4">
      <c r="B20" s="112" t="str">
        <f>'SG&amp;A_Quarterly'!B20</f>
        <v>지급임차료</v>
      </c>
      <c r="C20" s="113" t="str">
        <f>'SG&amp;A_Quarterly'!C20</f>
        <v>Rent Expenses</v>
      </c>
      <c r="D20" s="756">
        <v>343.93</v>
      </c>
      <c r="E20" s="379">
        <v>196.27600000000001</v>
      </c>
      <c r="F20" s="380">
        <f t="shared" si="0"/>
        <v>-0.42931410461431108</v>
      </c>
      <c r="G20" s="379">
        <v>63.287999999999997</v>
      </c>
      <c r="H20" s="380">
        <f t="shared" si="1"/>
        <v>-0.67755609447920273</v>
      </c>
      <c r="I20" s="379">
        <v>11.507</v>
      </c>
      <c r="J20" s="380">
        <f t="shared" si="18"/>
        <v>-0.81818038174693464</v>
      </c>
      <c r="K20" s="379">
        <v>5.3230000000000004</v>
      </c>
      <c r="L20" s="380">
        <f t="shared" si="19"/>
        <v>-0.5374120100808204</v>
      </c>
      <c r="M20" s="379">
        <v>5.7470999999999997</v>
      </c>
      <c r="N20" s="380">
        <f t="shared" si="20"/>
        <v>7.9673116663535382E-2</v>
      </c>
      <c r="O20" s="379">
        <v>12.551</v>
      </c>
      <c r="P20" s="380">
        <f t="shared" si="20"/>
        <v>1.1838840458666113</v>
      </c>
      <c r="Q20" s="379">
        <v>33.686999999999998</v>
      </c>
      <c r="R20" s="380">
        <f t="shared" si="17"/>
        <v>1.6840092422914505</v>
      </c>
      <c r="T20" s="21"/>
      <c r="U20" s="21"/>
    </row>
    <row r="21" spans="1:21" ht="16.2" customHeight="1" outlineLevel="1" x14ac:dyDescent="0.4">
      <c r="B21" s="112" t="str">
        <f>'SG&amp;A_Quarterly'!B21</f>
        <v>수선비</v>
      </c>
      <c r="C21" s="113" t="str">
        <f>'SG&amp;A_Quarterly'!C21</f>
        <v>Repairs and Maintenance Expenses</v>
      </c>
      <c r="D21" s="756">
        <v>54.838999999999999</v>
      </c>
      <c r="E21" s="379">
        <v>13.612</v>
      </c>
      <c r="F21" s="380">
        <f t="shared" si="0"/>
        <v>-0.75178249056328528</v>
      </c>
      <c r="G21" s="379">
        <v>9.23</v>
      </c>
      <c r="H21" s="380">
        <f t="shared" si="1"/>
        <v>-0.32192183367616811</v>
      </c>
      <c r="I21" s="379">
        <v>8.7129999999999992</v>
      </c>
      <c r="J21" s="380">
        <f t="shared" si="18"/>
        <v>-5.6013001083423775E-2</v>
      </c>
      <c r="K21" s="379">
        <v>39.811</v>
      </c>
      <c r="L21" s="380">
        <f t="shared" si="19"/>
        <v>3.5691495466544252</v>
      </c>
      <c r="M21" s="379">
        <v>69.527923000000015</v>
      </c>
      <c r="N21" s="380">
        <f t="shared" si="20"/>
        <v>0.74645005149330634</v>
      </c>
      <c r="O21" s="379">
        <v>52.887</v>
      </c>
      <c r="P21" s="380">
        <f t="shared" si="20"/>
        <v>-0.23934158079193613</v>
      </c>
      <c r="Q21" s="379">
        <v>90.287999999999997</v>
      </c>
      <c r="R21" s="380">
        <f t="shared" si="17"/>
        <v>0.70718702138521738</v>
      </c>
      <c r="T21" s="21"/>
      <c r="U21" s="21"/>
    </row>
    <row r="22" spans="1:21" ht="16.2" customHeight="1" outlineLevel="1" x14ac:dyDescent="0.4">
      <c r="B22" s="112" t="str">
        <f>'SG&amp;A_Quarterly'!B22</f>
        <v>보험료</v>
      </c>
      <c r="C22" s="113" t="str">
        <f>'SG&amp;A_Quarterly'!C22</f>
        <v>Insurance Expenses</v>
      </c>
      <c r="D22" s="756">
        <v>35.457000000000001</v>
      </c>
      <c r="E22" s="379">
        <v>38.451000000000001</v>
      </c>
      <c r="F22" s="380">
        <f t="shared" si="0"/>
        <v>8.4440307978678408E-2</v>
      </c>
      <c r="G22" s="379">
        <v>41.146999999999998</v>
      </c>
      <c r="H22" s="380">
        <f t="shared" si="1"/>
        <v>7.0115211567969515E-2</v>
      </c>
      <c r="I22" s="379">
        <v>27.54</v>
      </c>
      <c r="J22" s="380">
        <f t="shared" si="18"/>
        <v>-0.33069239555739183</v>
      </c>
      <c r="K22" s="379">
        <v>33.750999999999998</v>
      </c>
      <c r="L22" s="380">
        <f t="shared" si="19"/>
        <v>0.22552650689905596</v>
      </c>
      <c r="M22" s="379">
        <v>90.979076000000006</v>
      </c>
      <c r="N22" s="380">
        <f t="shared" si="20"/>
        <v>1.695596456401292</v>
      </c>
      <c r="O22" s="379">
        <v>67.521000000000001</v>
      </c>
      <c r="P22" s="380">
        <f t="shared" si="20"/>
        <v>-0.2578403412230742</v>
      </c>
      <c r="Q22" s="379">
        <v>73.372</v>
      </c>
      <c r="R22" s="380">
        <f t="shared" si="17"/>
        <v>8.6654522296766956E-2</v>
      </c>
      <c r="T22" s="21"/>
      <c r="U22" s="21"/>
    </row>
    <row r="23" spans="1:21" ht="16.2" customHeight="1" outlineLevel="1" x14ac:dyDescent="0.4">
      <c r="B23" s="112" t="str">
        <f>'SG&amp;A_Quarterly'!B23</f>
        <v>차량유지비</v>
      </c>
      <c r="C23" s="113" t="str">
        <f>'SG&amp;A_Quarterly'!C23</f>
        <v>Vehicle Maintenance Expenses</v>
      </c>
      <c r="D23" s="756">
        <v>49.734000000000002</v>
      </c>
      <c r="E23" s="379">
        <v>58.117000000000004</v>
      </c>
      <c r="F23" s="380">
        <f t="shared" si="0"/>
        <v>0.16855672175976188</v>
      </c>
      <c r="G23" s="379">
        <v>119.28</v>
      </c>
      <c r="H23" s="380">
        <f t="shared" si="1"/>
        <v>1.0524115147030986</v>
      </c>
      <c r="I23" s="379">
        <v>124.22899999999998</v>
      </c>
      <c r="J23" s="380">
        <f t="shared" si="18"/>
        <v>4.1490610328638322E-2</v>
      </c>
      <c r="K23" s="379">
        <v>162.57599999999999</v>
      </c>
      <c r="L23" s="380">
        <f t="shared" si="19"/>
        <v>0.30867993785670023</v>
      </c>
      <c r="M23" s="379">
        <v>194.30017799999999</v>
      </c>
      <c r="N23" s="380">
        <f t="shared" si="20"/>
        <v>0.19513444788898737</v>
      </c>
      <c r="O23" s="379">
        <v>205.48099999999999</v>
      </c>
      <c r="P23" s="380">
        <f t="shared" si="20"/>
        <v>5.7544064627671254E-2</v>
      </c>
      <c r="Q23" s="379">
        <v>256.11599999999999</v>
      </c>
      <c r="R23" s="380">
        <f t="shared" si="17"/>
        <v>0.24642181028902921</v>
      </c>
      <c r="T23" s="21"/>
      <c r="U23" s="21"/>
    </row>
    <row r="24" spans="1:21" ht="16.2" customHeight="1" outlineLevel="1" x14ac:dyDescent="0.4">
      <c r="B24" s="112" t="str">
        <f>'SG&amp;A_Quarterly'!B24</f>
        <v>운반비</v>
      </c>
      <c r="C24" s="113" t="str">
        <f>'SG&amp;A_Quarterly'!C24</f>
        <v>Freight and Delivery Expenses</v>
      </c>
      <c r="D24" s="756">
        <v>280.16500000000002</v>
      </c>
      <c r="E24" s="379">
        <v>326.06299999999999</v>
      </c>
      <c r="F24" s="380">
        <f t="shared" si="0"/>
        <v>0.16382488890475244</v>
      </c>
      <c r="G24" s="379">
        <v>306.47500000000002</v>
      </c>
      <c r="H24" s="380">
        <f t="shared" si="1"/>
        <v>-6.0074280123779689E-2</v>
      </c>
      <c r="I24" s="379">
        <v>179.45400000000001</v>
      </c>
      <c r="J24" s="380">
        <f t="shared" si="18"/>
        <v>-0.41445794926176693</v>
      </c>
      <c r="K24" s="379">
        <v>121.602</v>
      </c>
      <c r="L24" s="380">
        <f t="shared" si="19"/>
        <v>-0.322377879568023</v>
      </c>
      <c r="M24" s="379">
        <v>398.529855</v>
      </c>
      <c r="N24" s="380">
        <f t="shared" si="20"/>
        <v>2.2773297725366359</v>
      </c>
      <c r="O24" s="379">
        <v>407.39100000000002</v>
      </c>
      <c r="P24" s="380">
        <f t="shared" si="20"/>
        <v>2.2234582651279755E-2</v>
      </c>
      <c r="Q24" s="379">
        <v>407.01800000000003</v>
      </c>
      <c r="R24" s="380">
        <f t="shared" si="17"/>
        <v>-9.1558232754285207E-4</v>
      </c>
      <c r="T24" s="21"/>
      <c r="U24" s="21"/>
    </row>
    <row r="25" spans="1:21" ht="16.2" customHeight="1" outlineLevel="1" x14ac:dyDescent="0.4">
      <c r="B25" s="112" t="str">
        <f>'SG&amp;A_Quarterly'!B25</f>
        <v>교육훈련비</v>
      </c>
      <c r="C25" s="113" t="str">
        <f>'SG&amp;A_Quarterly'!C25</f>
        <v>Training and Education Expenses</v>
      </c>
      <c r="D25" s="756">
        <v>5.4160000000000004</v>
      </c>
      <c r="E25" s="379">
        <v>7.4929999999999994</v>
      </c>
      <c r="F25" s="380">
        <f t="shared" si="0"/>
        <v>0.38349335302806487</v>
      </c>
      <c r="G25" s="379">
        <v>8.7899999999999991</v>
      </c>
      <c r="H25" s="380">
        <f t="shared" si="1"/>
        <v>0.17309488856265842</v>
      </c>
      <c r="I25" s="379">
        <v>9.2030000000000012</v>
      </c>
      <c r="J25" s="380">
        <f t="shared" si="18"/>
        <v>4.6985210466439442E-2</v>
      </c>
      <c r="K25" s="379">
        <v>4.43</v>
      </c>
      <c r="L25" s="380">
        <f t="shared" si="19"/>
        <v>-0.51863522764315995</v>
      </c>
      <c r="M25" s="379">
        <v>4.674995</v>
      </c>
      <c r="N25" s="380">
        <f t="shared" si="20"/>
        <v>5.5303611738149128E-2</v>
      </c>
      <c r="O25" s="379">
        <v>15.805999999999999</v>
      </c>
      <c r="P25" s="380">
        <f t="shared" si="20"/>
        <v>2.3809661828515321</v>
      </c>
      <c r="Q25" s="379">
        <v>41.976000000000006</v>
      </c>
      <c r="R25" s="380">
        <f t="shared" si="17"/>
        <v>1.6557003669492603</v>
      </c>
      <c r="T25" s="21"/>
      <c r="U25" s="21"/>
    </row>
    <row r="26" spans="1:21" ht="16.2" customHeight="1" outlineLevel="1" x14ac:dyDescent="0.4">
      <c r="B26" s="112" t="str">
        <f>'SG&amp;A_Quarterly'!B26</f>
        <v>도서인쇄비</v>
      </c>
      <c r="C26" s="113" t="str">
        <f>'SG&amp;A_Quarterly'!C26</f>
        <v>Periodicals and Printing Expenses</v>
      </c>
      <c r="D26" s="756">
        <v>151.75399999999999</v>
      </c>
      <c r="E26" s="379">
        <v>153.51600000000002</v>
      </c>
      <c r="F26" s="380">
        <f t="shared" si="0"/>
        <v>1.1610896582627372E-2</v>
      </c>
      <c r="G26" s="379">
        <v>199.42500000000001</v>
      </c>
      <c r="H26" s="380">
        <f t="shared" si="1"/>
        <v>0.29905026186195571</v>
      </c>
      <c r="I26" s="379">
        <v>190.55799999999999</v>
      </c>
      <c r="J26" s="380">
        <f t="shared" si="18"/>
        <v>-4.4462830638084538E-2</v>
      </c>
      <c r="K26" s="379">
        <v>263.76000000000005</v>
      </c>
      <c r="L26" s="380">
        <f t="shared" si="19"/>
        <v>0.38414550950366855</v>
      </c>
      <c r="M26" s="379">
        <v>270.25355500000001</v>
      </c>
      <c r="N26" s="380">
        <f t="shared" si="20"/>
        <v>2.4619180315438083E-2</v>
      </c>
      <c r="O26" s="379">
        <v>229.60400000000001</v>
      </c>
      <c r="P26" s="380">
        <f t="shared" si="20"/>
        <v>-0.15041265599632903</v>
      </c>
      <c r="Q26" s="379">
        <v>432.92899999999997</v>
      </c>
      <c r="R26" s="380">
        <f t="shared" si="17"/>
        <v>0.88554641905193265</v>
      </c>
      <c r="T26" s="21"/>
      <c r="U26" s="21"/>
    </row>
    <row r="27" spans="1:21" ht="16.2" customHeight="1" outlineLevel="1" x14ac:dyDescent="0.4">
      <c r="A27" s="158"/>
      <c r="B27" s="112" t="str">
        <f>'SG&amp;A_Quarterly'!B27</f>
        <v>사무용품비</v>
      </c>
      <c r="C27" s="113" t="str">
        <f>'SG&amp;A_Quarterly'!C27</f>
        <v>Office Supplies Expense</v>
      </c>
      <c r="D27" s="756">
        <v>34.146000000000001</v>
      </c>
      <c r="E27" s="379">
        <v>38.474999999999994</v>
      </c>
      <c r="F27" s="380">
        <f t="shared" si="0"/>
        <v>0.12677912493410637</v>
      </c>
      <c r="G27" s="379">
        <v>48.65</v>
      </c>
      <c r="H27" s="380">
        <f t="shared" si="1"/>
        <v>0.26445743989603643</v>
      </c>
      <c r="I27" s="379">
        <v>26.233999999999998</v>
      </c>
      <c r="J27" s="380">
        <f t="shared" si="18"/>
        <v>-0.46076053442959919</v>
      </c>
      <c r="K27" s="379">
        <v>13.427</v>
      </c>
      <c r="L27" s="380">
        <f t="shared" si="19"/>
        <v>-0.48818327361439351</v>
      </c>
      <c r="M27" s="379">
        <v>22.552302000000001</v>
      </c>
      <c r="N27" s="380">
        <f t="shared" si="20"/>
        <v>0.67962329634318919</v>
      </c>
      <c r="O27" s="379">
        <v>19.399000000000001</v>
      </c>
      <c r="P27" s="380">
        <f t="shared" si="20"/>
        <v>-0.13982173527119313</v>
      </c>
      <c r="Q27" s="379">
        <v>18.641999999999999</v>
      </c>
      <c r="R27" s="380">
        <f t="shared" si="17"/>
        <v>-3.9022630032475969E-2</v>
      </c>
      <c r="T27" s="21"/>
      <c r="U27" s="21"/>
    </row>
    <row r="28" spans="1:21" ht="16.2" customHeight="1" outlineLevel="1" x14ac:dyDescent="0.4">
      <c r="A28" s="157"/>
      <c r="B28" s="112" t="str">
        <f>'SG&amp;A_Quarterly'!B28</f>
        <v>소모품비</v>
      </c>
      <c r="C28" s="113" t="str">
        <f>'SG&amp;A_Quarterly'!C28</f>
        <v>Supplies Expenses</v>
      </c>
      <c r="D28" s="756">
        <v>199.61600000000001</v>
      </c>
      <c r="E28" s="379">
        <v>253.261</v>
      </c>
      <c r="F28" s="380">
        <f t="shared" si="0"/>
        <v>0.26874098268675839</v>
      </c>
      <c r="G28" s="379">
        <v>252.99799999999999</v>
      </c>
      <c r="H28" s="380">
        <f t="shared" si="1"/>
        <v>-1.038454400796085E-3</v>
      </c>
      <c r="I28" s="379">
        <v>130.80500000000001</v>
      </c>
      <c r="J28" s="380">
        <f t="shared" si="18"/>
        <v>-0.48298010260950675</v>
      </c>
      <c r="K28" s="379">
        <v>160.89800000000002</v>
      </c>
      <c r="L28" s="380">
        <f t="shared" si="19"/>
        <v>0.23006001299644518</v>
      </c>
      <c r="M28" s="379">
        <v>144.54231900000002</v>
      </c>
      <c r="N28" s="380">
        <f t="shared" si="20"/>
        <v>-0.10165248169647856</v>
      </c>
      <c r="O28" s="379">
        <v>137.94499999999999</v>
      </c>
      <c r="P28" s="380">
        <f t="shared" si="20"/>
        <v>-4.5642819664461265E-2</v>
      </c>
      <c r="Q28" s="379">
        <v>195.06299999999999</v>
      </c>
      <c r="R28" s="380">
        <f t="shared" si="17"/>
        <v>0.41406357606292366</v>
      </c>
      <c r="T28" s="21"/>
      <c r="U28" s="21"/>
    </row>
    <row r="29" spans="1:21" ht="16.2" customHeight="1" outlineLevel="1" x14ac:dyDescent="0.4">
      <c r="B29" s="112" t="str">
        <f>'SG&amp;A_Quarterly'!B29</f>
        <v>판매촉진비</v>
      </c>
      <c r="C29" s="113" t="str">
        <f>'SG&amp;A_Quarterly'!C29</f>
        <v>Sales Promotion Expenses</v>
      </c>
      <c r="D29" s="756">
        <v>26.734000000000002</v>
      </c>
      <c r="E29" s="379">
        <v>12.875999999999999</v>
      </c>
      <c r="F29" s="380">
        <f t="shared" si="0"/>
        <v>-0.51836612553302919</v>
      </c>
      <c r="G29" s="379">
        <v>47.385000000000005</v>
      </c>
      <c r="H29" s="380">
        <f t="shared" si="1"/>
        <v>2.6801025163094132</v>
      </c>
      <c r="I29" s="379">
        <v>45.275999999999996</v>
      </c>
      <c r="J29" s="380">
        <f t="shared" si="18"/>
        <v>-4.4507755618866884E-2</v>
      </c>
      <c r="K29" s="379">
        <v>168.73000000000002</v>
      </c>
      <c r="L29" s="380">
        <f t="shared" si="19"/>
        <v>2.7266984715964315</v>
      </c>
      <c r="M29" s="379">
        <v>173.92851100000001</v>
      </c>
      <c r="N29" s="380">
        <f t="shared" si="20"/>
        <v>3.0809642624310962E-2</v>
      </c>
      <c r="O29" s="379">
        <v>190.666</v>
      </c>
      <c r="P29" s="380">
        <f t="shared" si="20"/>
        <v>9.6232003044055103E-2</v>
      </c>
      <c r="Q29" s="379">
        <v>22.245999999999999</v>
      </c>
      <c r="R29" s="380">
        <f t="shared" si="17"/>
        <v>-0.8833247668698142</v>
      </c>
      <c r="T29" s="21"/>
      <c r="U29" s="21"/>
    </row>
    <row r="30" spans="1:21" ht="16.2" customHeight="1" outlineLevel="1" x14ac:dyDescent="0.4">
      <c r="B30" s="112" t="str">
        <f>'SG&amp;A_Quarterly'!B30</f>
        <v>대손상각비</v>
      </c>
      <c r="C30" s="113" t="str">
        <f>'SG&amp;A_Quarterly'!C30</f>
        <v>Bad Debt Expense</v>
      </c>
      <c r="D30" s="756">
        <v>64.316999999999993</v>
      </c>
      <c r="E30" s="379">
        <v>44.683999999999997</v>
      </c>
      <c r="F30" s="380">
        <v>0</v>
      </c>
      <c r="G30" s="379">
        <v>185.83499999999998</v>
      </c>
      <c r="H30" s="380">
        <v>0</v>
      </c>
      <c r="I30" s="379">
        <v>198.52699999999999</v>
      </c>
      <c r="J30" s="380">
        <v>0</v>
      </c>
      <c r="K30" s="379">
        <v>-101.2</v>
      </c>
      <c r="L30" s="380">
        <v>0</v>
      </c>
      <c r="M30" s="379">
        <v>19.724862000000002</v>
      </c>
      <c r="N30" s="380">
        <v>0</v>
      </c>
      <c r="O30" s="379">
        <v>449.68900000000002</v>
      </c>
      <c r="P30" s="380">
        <v>0</v>
      </c>
      <c r="Q30" s="379">
        <v>36.432999999999979</v>
      </c>
      <c r="R30" s="380">
        <v>0</v>
      </c>
      <c r="T30" s="21"/>
      <c r="U30" s="21"/>
    </row>
    <row r="31" spans="1:21" ht="16.2" customHeight="1" outlineLevel="1" x14ac:dyDescent="0.4">
      <c r="B31" s="112" t="str">
        <f>'SG&amp;A_Quarterly'!B31</f>
        <v>수출제비용</v>
      </c>
      <c r="C31" s="113" t="str">
        <f>'SG&amp;A_Quarterly'!C31</f>
        <v>Export Expenses</v>
      </c>
      <c r="D31" s="756">
        <v>82.222999999999999</v>
      </c>
      <c r="E31" s="379">
        <v>170.822</v>
      </c>
      <c r="F31" s="380">
        <f>E31/D31-1</f>
        <v>1.0775452124101528</v>
      </c>
      <c r="G31" s="379">
        <v>180.38499999999999</v>
      </c>
      <c r="H31" s="380">
        <f>G31/E31-1</f>
        <v>5.5982250529791111E-2</v>
      </c>
      <c r="I31" s="379">
        <v>143.02199999999999</v>
      </c>
      <c r="J31" s="380">
        <f>I31/G31-1</f>
        <v>-0.20712919588657597</v>
      </c>
      <c r="K31" s="379">
        <v>329.28100000000006</v>
      </c>
      <c r="L31" s="380">
        <f>K31/I31-1</f>
        <v>1.3023101341052432</v>
      </c>
      <c r="M31" s="379">
        <v>229.47045</v>
      </c>
      <c r="N31" s="380">
        <f>M31/K31-1</f>
        <v>-0.30311663898008101</v>
      </c>
      <c r="O31" s="379">
        <v>208.87200000000001</v>
      </c>
      <c r="P31" s="380">
        <f>O31/M31-1</f>
        <v>-8.9765152768036094E-2</v>
      </c>
      <c r="Q31" s="379">
        <v>193.47400000000002</v>
      </c>
      <c r="R31" s="380">
        <f>Q31/O31-1</f>
        <v>-7.3719790110689742E-2</v>
      </c>
      <c r="T31" s="21"/>
      <c r="U31" s="21"/>
    </row>
    <row r="32" spans="1:21" s="136" customFormat="1" ht="16.2" customHeight="1" outlineLevel="1" x14ac:dyDescent="0.4">
      <c r="A32" s="156"/>
      <c r="B32" s="112" t="str">
        <f>'SG&amp;A_Quarterly'!B32</f>
        <v>견본비</v>
      </c>
      <c r="C32" s="113" t="str">
        <f>'SG&amp;A_Quarterly'!C32</f>
        <v>Sample Expenses</v>
      </c>
      <c r="D32" s="756">
        <v>242.755</v>
      </c>
      <c r="E32" s="379">
        <v>545.87399999999991</v>
      </c>
      <c r="F32" s="380">
        <f>E32/D32-1</f>
        <v>1.2486622314679408</v>
      </c>
      <c r="G32" s="379">
        <v>671.84699999999998</v>
      </c>
      <c r="H32" s="380">
        <f>G32/E32-1</f>
        <v>0.23077303553567319</v>
      </c>
      <c r="I32" s="379">
        <v>98.924000000000007</v>
      </c>
      <c r="J32" s="380">
        <f>I32/G32-1</f>
        <v>-0.85275814285097651</v>
      </c>
      <c r="K32" s="379">
        <v>306.964</v>
      </c>
      <c r="L32" s="380">
        <f>K32/I32-1</f>
        <v>2.1030285876026036</v>
      </c>
      <c r="M32" s="379">
        <v>745.19846300000006</v>
      </c>
      <c r="N32" s="380">
        <f>M32/K32-1</f>
        <v>1.4276412315450675</v>
      </c>
      <c r="O32" s="379">
        <v>1402.828</v>
      </c>
      <c r="P32" s="380">
        <f>O32/M32-1</f>
        <v>0.88248912155901738</v>
      </c>
      <c r="Q32" s="379">
        <v>1970.1759999999999</v>
      </c>
      <c r="R32" s="380">
        <f>Q32/O32-1</f>
        <v>0.40443161955706608</v>
      </c>
      <c r="S32" s="11"/>
      <c r="T32" s="21"/>
      <c r="U32" s="21"/>
    </row>
    <row r="33" spans="1:21" s="136" customFormat="1" ht="16.2" customHeight="1" outlineLevel="1" x14ac:dyDescent="0.4">
      <c r="A33" s="156"/>
      <c r="B33" s="112" t="str">
        <f>'SG&amp;A_Quarterly'!B33</f>
        <v>건물관리비</v>
      </c>
      <c r="C33" s="113" t="str">
        <f>'SG&amp;A_Quarterly'!C33</f>
        <v>Building Maintenance Expenses</v>
      </c>
      <c r="D33" s="756" t="s">
        <v>126</v>
      </c>
      <c r="E33" s="379" t="s">
        <v>126</v>
      </c>
      <c r="F33" s="380" t="s">
        <v>126</v>
      </c>
      <c r="G33" s="379" t="s">
        <v>126</v>
      </c>
      <c r="H33" s="380" t="s">
        <v>126</v>
      </c>
      <c r="I33" s="379" t="s">
        <v>126</v>
      </c>
      <c r="J33" s="380" t="s">
        <v>126</v>
      </c>
      <c r="K33" s="379" t="s">
        <v>126</v>
      </c>
      <c r="L33" s="380" t="s">
        <v>126</v>
      </c>
      <c r="M33" s="379" t="s">
        <v>126</v>
      </c>
      <c r="N33" s="380" t="s">
        <v>126</v>
      </c>
      <c r="O33" s="379" t="s">
        <v>126</v>
      </c>
      <c r="P33" s="380" t="s">
        <v>126</v>
      </c>
      <c r="Q33" s="379">
        <v>264.399</v>
      </c>
      <c r="R33" s="380" t="s">
        <v>3</v>
      </c>
      <c r="S33" s="11"/>
      <c r="T33" s="21"/>
      <c r="U33" s="21"/>
    </row>
    <row r="34" spans="1:21" ht="16.2" customHeight="1" outlineLevel="1" x14ac:dyDescent="0.4">
      <c r="B34" s="112" t="str">
        <f>'SG&amp;A_Quarterly'!B34</f>
        <v>회의비</v>
      </c>
      <c r="C34" s="113" t="str">
        <f>'SG&amp;A_Quarterly'!C34</f>
        <v>Meeting Expenses</v>
      </c>
      <c r="D34" s="756">
        <v>3.367</v>
      </c>
      <c r="E34" s="379">
        <v>6.819</v>
      </c>
      <c r="F34" s="380">
        <f>E34/D34-1</f>
        <v>1.0252450252450251</v>
      </c>
      <c r="G34" s="379">
        <v>2.58</v>
      </c>
      <c r="H34" s="380">
        <f>G34/E34-1</f>
        <v>-0.62164540255169376</v>
      </c>
      <c r="I34" s="379">
        <v>0.06</v>
      </c>
      <c r="J34" s="380">
        <f>I34/G34-1</f>
        <v>-0.97674418604651159</v>
      </c>
      <c r="K34" s="379">
        <v>14.049999999999999</v>
      </c>
      <c r="L34" s="380">
        <f>K34/I34-1</f>
        <v>233.16666666666666</v>
      </c>
      <c r="M34" s="379">
        <v>2.2970000000000002</v>
      </c>
      <c r="N34" s="380">
        <f>M34/K34-1</f>
        <v>-0.83651245551601416</v>
      </c>
      <c r="O34" s="379">
        <v>1.76</v>
      </c>
      <c r="P34" s="380">
        <f>O34/M34-1</f>
        <v>-0.23378319547235527</v>
      </c>
      <c r="Q34" s="379">
        <v>0.6</v>
      </c>
      <c r="R34" s="380">
        <f>Q34/O34-1</f>
        <v>-0.65909090909090917</v>
      </c>
      <c r="T34" s="21"/>
      <c r="U34" s="21"/>
    </row>
    <row r="35" spans="1:21" s="136" customFormat="1" ht="16.2" customHeight="1" outlineLevel="1" x14ac:dyDescent="0.4">
      <c r="A35" s="156"/>
      <c r="B35" s="112" t="str">
        <f>'SG&amp;A_Quarterly'!B35</f>
        <v>잡급</v>
      </c>
      <c r="C35" s="113" t="str">
        <f>'SG&amp;A_Quarterly'!C35</f>
        <v xml:space="preserve">Miscellaneous Wages </v>
      </c>
      <c r="D35" s="756" t="s">
        <v>3</v>
      </c>
      <c r="E35" s="379" t="s">
        <v>3</v>
      </c>
      <c r="F35" s="380" t="s">
        <v>3</v>
      </c>
      <c r="G35" s="379" t="s">
        <v>3</v>
      </c>
      <c r="H35" s="380" t="s">
        <v>3</v>
      </c>
      <c r="I35" s="379" t="s">
        <v>3</v>
      </c>
      <c r="J35" s="380" t="s">
        <v>3</v>
      </c>
      <c r="K35" s="379" t="s">
        <v>3</v>
      </c>
      <c r="L35" s="380" t="s">
        <v>3</v>
      </c>
      <c r="M35" s="379">
        <v>0</v>
      </c>
      <c r="N35" s="380" t="s">
        <v>3</v>
      </c>
      <c r="O35" s="379">
        <v>31.538</v>
      </c>
      <c r="P35" s="380" t="s">
        <v>3</v>
      </c>
      <c r="Q35" s="379">
        <v>60.911000000000001</v>
      </c>
      <c r="R35" s="380">
        <f>Q35/O35-1</f>
        <v>0.93135265394127731</v>
      </c>
      <c r="S35" s="11"/>
      <c r="T35" s="21"/>
      <c r="U35" s="21"/>
    </row>
    <row r="36" spans="1:21" s="138" customFormat="1" ht="16.2" customHeight="1" x14ac:dyDescent="0.4">
      <c r="A36" s="156"/>
      <c r="B36" s="114" t="str">
        <f>'SG&amp;A_Quarterly'!B36</f>
        <v>합 계</v>
      </c>
      <c r="C36" s="115" t="str">
        <f>'SG&amp;A_Quarterly'!C36</f>
        <v>Total</v>
      </c>
      <c r="D36" s="782">
        <f>SUM(D3:D11)</f>
        <v>13279.15</v>
      </c>
      <c r="E36" s="384">
        <f>SUM(E3:E11)</f>
        <v>17271.121999999999</v>
      </c>
      <c r="F36" s="385">
        <f>E36/D36-1</f>
        <v>0.30061954266651103</v>
      </c>
      <c r="G36" s="384">
        <f>SUM(G3:G11)</f>
        <v>22195.585999999999</v>
      </c>
      <c r="H36" s="385">
        <f t="shared" ref="H36" si="21">G36/E36-1</f>
        <v>0.2851270461756914</v>
      </c>
      <c r="I36" s="384">
        <f t="shared" ref="I36" si="22">SUM(I3:I11)</f>
        <v>20350.686999999998</v>
      </c>
      <c r="J36" s="385">
        <f t="shared" ref="J36" si="23">I36/G36-1</f>
        <v>-8.3120085227756602E-2</v>
      </c>
      <c r="K36" s="384">
        <f t="shared" ref="K36" si="24">SUM(K3:K11)</f>
        <v>26139.942999999999</v>
      </c>
      <c r="L36" s="385">
        <f t="shared" ref="L36" si="25">K36/I36-1</f>
        <v>0.28447472068141977</v>
      </c>
      <c r="M36" s="384">
        <f t="shared" ref="M36" si="26">SUM(M3:M11)</f>
        <v>39290.816356000003</v>
      </c>
      <c r="N36" s="385">
        <f t="shared" ref="N36" si="27">M36/K36-1</f>
        <v>0.50309495150773675</v>
      </c>
      <c r="O36" s="384">
        <f t="shared" ref="O36" si="28">SUM(O3:O11)</f>
        <v>50826.681999999993</v>
      </c>
      <c r="P36" s="385">
        <f t="shared" ref="P36" si="29">O36/M36-1</f>
        <v>0.29360208603144433</v>
      </c>
      <c r="Q36" s="384">
        <f t="shared" ref="Q36" si="30">SUM(Q3:Q11)</f>
        <v>68684.934000000008</v>
      </c>
      <c r="R36" s="385">
        <f t="shared" ref="R36" si="31">Q36/O36-1</f>
        <v>0.35135584888267979</v>
      </c>
      <c r="S36" s="11"/>
    </row>
    <row r="37" spans="1:21" ht="16.2" customHeight="1" x14ac:dyDescent="0.4">
      <c r="B37" s="104"/>
      <c r="C37" s="104"/>
    </row>
    <row r="38" spans="1:21" ht="16.2" customHeight="1" x14ac:dyDescent="0.4">
      <c r="B38" s="104"/>
      <c r="C38" s="104"/>
    </row>
    <row r="39" spans="1:21" ht="16.2" customHeight="1" x14ac:dyDescent="0.4">
      <c r="B39" s="104"/>
      <c r="C39" s="104"/>
    </row>
    <row r="40" spans="1:21" ht="16.2" customHeight="1" x14ac:dyDescent="0.4">
      <c r="B40" s="104"/>
      <c r="C40" s="104"/>
    </row>
    <row r="41" spans="1:21" ht="16.2" customHeight="1" x14ac:dyDescent="0.4">
      <c r="B41" s="104"/>
      <c r="C41" s="104"/>
    </row>
    <row r="42" spans="1:21" ht="16.2" customHeight="1" x14ac:dyDescent="0.4">
      <c r="B42" s="104"/>
      <c r="C42" s="104"/>
    </row>
    <row r="43" spans="1:21" ht="16.2" customHeight="1" x14ac:dyDescent="0.4">
      <c r="B43" s="104"/>
      <c r="C43" s="104"/>
    </row>
    <row r="44" spans="1:21" ht="16.2" customHeight="1" x14ac:dyDescent="0.4">
      <c r="A44" s="157"/>
      <c r="B44" s="104"/>
      <c r="C44" s="104"/>
    </row>
    <row r="45" spans="1:21" ht="16.2" customHeight="1" x14ac:dyDescent="0.4">
      <c r="A45" s="159"/>
      <c r="B45" s="104"/>
      <c r="C45" s="104"/>
    </row>
    <row r="46" spans="1:21" ht="16.2" customHeight="1" x14ac:dyDescent="0.4">
      <c r="A46" s="157"/>
      <c r="B46" s="104"/>
      <c r="C46" s="104"/>
    </row>
    <row r="47" spans="1:21" ht="16.2" customHeight="1" x14ac:dyDescent="0.4">
      <c r="A47" s="160"/>
      <c r="B47" s="104"/>
      <c r="C47" s="104"/>
    </row>
    <row r="48" spans="1:21" ht="16.2" customHeight="1" x14ac:dyDescent="0.4">
      <c r="A48" s="160"/>
      <c r="B48" s="104"/>
      <c r="C48" s="104"/>
    </row>
    <row r="49" spans="1:3" ht="16.2" customHeight="1" x14ac:dyDescent="0.4">
      <c r="A49" s="157"/>
      <c r="B49" s="104"/>
      <c r="C49" s="104"/>
    </row>
    <row r="50" spans="1:3" ht="16.2" customHeight="1" x14ac:dyDescent="0.4">
      <c r="A50" s="160"/>
      <c r="B50" s="104"/>
      <c r="C50" s="104"/>
    </row>
    <row r="51" spans="1:3" ht="16.2" customHeight="1" x14ac:dyDescent="0.4">
      <c r="A51" s="160"/>
      <c r="B51" s="104"/>
      <c r="C51" s="104"/>
    </row>
    <row r="52" spans="1:3" ht="16.2" customHeight="1" x14ac:dyDescent="0.4">
      <c r="A52" s="157"/>
      <c r="B52" s="104"/>
      <c r="C52" s="104"/>
    </row>
    <row r="53" spans="1:3" ht="16.2" customHeight="1" x14ac:dyDescent="0.4">
      <c r="A53" s="160"/>
      <c r="B53" s="104"/>
      <c r="C53" s="104"/>
    </row>
    <row r="54" spans="1:3" ht="16.2" customHeight="1" x14ac:dyDescent="0.4">
      <c r="A54" s="160"/>
      <c r="B54" s="104"/>
      <c r="C54" s="104"/>
    </row>
    <row r="55" spans="1:3" ht="16.2" customHeight="1" x14ac:dyDescent="0.4">
      <c r="A55" s="157"/>
      <c r="B55" s="104"/>
      <c r="C55" s="104"/>
    </row>
    <row r="56" spans="1:3" ht="16.2" customHeight="1" x14ac:dyDescent="0.4">
      <c r="A56" s="161"/>
      <c r="B56" s="104"/>
      <c r="C56" s="104"/>
    </row>
    <row r="57" spans="1:3" ht="16.2" customHeight="1" x14ac:dyDescent="0.4">
      <c r="A57" s="160"/>
      <c r="B57" s="104"/>
      <c r="C57" s="104"/>
    </row>
    <row r="58" spans="1:3" ht="16.2" customHeight="1" x14ac:dyDescent="0.4">
      <c r="A58" s="160"/>
      <c r="B58" s="104"/>
      <c r="C58" s="104"/>
    </row>
    <row r="59" spans="1:3" ht="16.2" customHeight="1" x14ac:dyDescent="0.4">
      <c r="A59" s="162"/>
      <c r="B59" s="104"/>
      <c r="C59" s="104"/>
    </row>
    <row r="60" spans="1:3" ht="16.2" customHeight="1" x14ac:dyDescent="0.4">
      <c r="B60" s="104"/>
      <c r="C60" s="104"/>
    </row>
    <row r="61" spans="1:3" ht="16.2" customHeight="1" x14ac:dyDescent="0.4">
      <c r="B61" s="104"/>
      <c r="C61" s="104"/>
    </row>
    <row r="62" spans="1:3" ht="16.2" customHeight="1" x14ac:dyDescent="0.4">
      <c r="B62" s="104"/>
      <c r="C62" s="104"/>
    </row>
    <row r="63" spans="1:3" ht="16.2" customHeight="1" x14ac:dyDescent="0.4">
      <c r="B63" s="104"/>
      <c r="C63" s="104"/>
    </row>
    <row r="64" spans="1:3" ht="16.2" customHeight="1" x14ac:dyDescent="0.4">
      <c r="B64" s="104"/>
      <c r="C64" s="104"/>
    </row>
    <row r="65" spans="2:3" ht="16.2" customHeight="1" x14ac:dyDescent="0.4">
      <c r="B65" s="104"/>
      <c r="C65" s="104"/>
    </row>
    <row r="66" spans="2:3" ht="16.2" customHeight="1" x14ac:dyDescent="0.4">
      <c r="B66" s="104"/>
      <c r="C66" s="104"/>
    </row>
    <row r="67" spans="2:3" ht="16.2" customHeight="1" x14ac:dyDescent="0.4">
      <c r="B67" s="104"/>
      <c r="C67" s="104"/>
    </row>
    <row r="68" spans="2:3" ht="16.2" customHeight="1" x14ac:dyDescent="0.4">
      <c r="B68" s="104"/>
      <c r="C68" s="104"/>
    </row>
    <row r="69" spans="2:3" ht="16.2" customHeight="1" x14ac:dyDescent="0.4">
      <c r="B69" s="104"/>
      <c r="C69" s="104"/>
    </row>
    <row r="70" spans="2:3" ht="16.2" customHeight="1" x14ac:dyDescent="0.4">
      <c r="B70" s="104"/>
      <c r="C70" s="104"/>
    </row>
    <row r="71" spans="2:3" ht="16.2" customHeight="1" x14ac:dyDescent="0.4">
      <c r="B71" s="104"/>
      <c r="C71" s="104"/>
    </row>
    <row r="72" spans="2:3" ht="16.2" customHeight="1" x14ac:dyDescent="0.4">
      <c r="B72" s="104"/>
      <c r="C72" s="104"/>
    </row>
    <row r="73" spans="2:3" ht="16.2" customHeight="1" x14ac:dyDescent="0.4">
      <c r="B73" s="104"/>
      <c r="C73" s="104"/>
    </row>
    <row r="74" spans="2:3" ht="16.2" customHeight="1" x14ac:dyDescent="0.4">
      <c r="B74" s="104"/>
      <c r="C74" s="104"/>
    </row>
    <row r="75" spans="2:3" ht="16.2" customHeight="1" x14ac:dyDescent="0.4">
      <c r="B75" s="104"/>
      <c r="C75" s="104"/>
    </row>
    <row r="76" spans="2:3" ht="16.2" customHeight="1" x14ac:dyDescent="0.4">
      <c r="B76" s="104"/>
      <c r="C76" s="104"/>
    </row>
    <row r="77" spans="2:3" ht="16.2" customHeight="1" x14ac:dyDescent="0.4">
      <c r="B77" s="104"/>
      <c r="C77" s="104"/>
    </row>
    <row r="78" spans="2:3" ht="16.2" customHeight="1" x14ac:dyDescent="0.4">
      <c r="B78" s="104"/>
      <c r="C78" s="104"/>
    </row>
    <row r="79" spans="2:3" ht="16.2" customHeight="1" x14ac:dyDescent="0.4">
      <c r="B79" s="104"/>
      <c r="C79" s="104"/>
    </row>
    <row r="80" spans="2:3" ht="16.2" customHeight="1" x14ac:dyDescent="0.4">
      <c r="B80" s="104"/>
      <c r="C80" s="104"/>
    </row>
    <row r="81" spans="2:3" ht="16.2" customHeight="1" x14ac:dyDescent="0.4">
      <c r="B81" s="104"/>
      <c r="C81" s="104"/>
    </row>
    <row r="82" spans="2:3" ht="16.2" customHeight="1" x14ac:dyDescent="0.4">
      <c r="B82" s="104"/>
      <c r="C82" s="104"/>
    </row>
    <row r="83" spans="2:3" ht="16.2" customHeight="1" x14ac:dyDescent="0.4">
      <c r="B83" s="104"/>
      <c r="C83" s="104"/>
    </row>
    <row r="84" spans="2:3" ht="16.2" customHeight="1" x14ac:dyDescent="0.4">
      <c r="B84" s="104"/>
      <c r="C84" s="104"/>
    </row>
    <row r="85" spans="2:3" ht="16.2" customHeight="1" x14ac:dyDescent="0.4">
      <c r="B85" s="104"/>
      <c r="C85" s="104"/>
    </row>
    <row r="86" spans="2:3" ht="16.2" customHeight="1" x14ac:dyDescent="0.4">
      <c r="B86" s="104"/>
      <c r="C86" s="104"/>
    </row>
    <row r="87" spans="2:3" ht="16.2" customHeight="1" x14ac:dyDescent="0.4">
      <c r="B87" s="104"/>
      <c r="C87" s="104"/>
    </row>
    <row r="88" spans="2:3" ht="16.2" customHeight="1" x14ac:dyDescent="0.4">
      <c r="B88" s="104"/>
      <c r="C88" s="104"/>
    </row>
    <row r="89" spans="2:3" ht="16.2" customHeight="1" x14ac:dyDescent="0.4">
      <c r="B89" s="104"/>
      <c r="C89" s="104"/>
    </row>
    <row r="90" spans="2:3" ht="16.2" customHeight="1" x14ac:dyDescent="0.4">
      <c r="B90" s="104"/>
      <c r="C90" s="104"/>
    </row>
    <row r="91" spans="2:3" ht="16.2" customHeight="1" x14ac:dyDescent="0.4">
      <c r="B91" s="104"/>
      <c r="C91" s="104"/>
    </row>
    <row r="92" spans="2:3" ht="16.2" customHeight="1" x14ac:dyDescent="0.4">
      <c r="B92" s="104"/>
      <c r="C92" s="104"/>
    </row>
    <row r="93" spans="2:3" ht="16.2" customHeight="1" x14ac:dyDescent="0.4">
      <c r="B93" s="104"/>
      <c r="C93" s="104"/>
    </row>
    <row r="94" spans="2:3" ht="16.2" customHeight="1" x14ac:dyDescent="0.4">
      <c r="B94" s="104"/>
      <c r="C94" s="104"/>
    </row>
    <row r="95" spans="2:3" ht="16.2" customHeight="1" x14ac:dyDescent="0.4">
      <c r="B95" s="104"/>
      <c r="C95" s="104"/>
    </row>
    <row r="96" spans="2:3" ht="16.2" customHeight="1" x14ac:dyDescent="0.4">
      <c r="B96" s="104"/>
      <c r="C96" s="104"/>
    </row>
    <row r="97" spans="2:3" ht="16.2" customHeight="1" x14ac:dyDescent="0.4">
      <c r="B97" s="104"/>
      <c r="C97" s="104"/>
    </row>
    <row r="98" spans="2:3" ht="16.2" customHeight="1" x14ac:dyDescent="0.4">
      <c r="B98" s="104"/>
      <c r="C98" s="104"/>
    </row>
    <row r="99" spans="2:3" ht="16.2" customHeight="1" x14ac:dyDescent="0.4">
      <c r="B99" s="104"/>
      <c r="C99" s="104"/>
    </row>
    <row r="100" spans="2:3" ht="16.2" customHeight="1" x14ac:dyDescent="0.4">
      <c r="B100" s="104"/>
      <c r="C100" s="104"/>
    </row>
    <row r="101" spans="2:3" ht="16.2" customHeight="1" x14ac:dyDescent="0.4">
      <c r="B101" s="104"/>
      <c r="C101" s="104"/>
    </row>
    <row r="102" spans="2:3" ht="16.2" customHeight="1" x14ac:dyDescent="0.4">
      <c r="B102" s="104"/>
      <c r="C102" s="104"/>
    </row>
    <row r="103" spans="2:3" ht="16.2" customHeight="1" x14ac:dyDescent="0.4">
      <c r="B103" s="104"/>
      <c r="C103" s="104"/>
    </row>
    <row r="104" spans="2:3" ht="16.2" customHeight="1" x14ac:dyDescent="0.4">
      <c r="B104" s="104"/>
      <c r="C104" s="104"/>
    </row>
    <row r="105" spans="2:3" ht="16.2" customHeight="1" x14ac:dyDescent="0.4">
      <c r="B105" s="104"/>
      <c r="C105" s="104"/>
    </row>
    <row r="106" spans="2:3" ht="16.2" customHeight="1" x14ac:dyDescent="0.4">
      <c r="B106" s="104"/>
      <c r="C106" s="104"/>
    </row>
    <row r="107" spans="2:3" ht="16.2" customHeight="1" x14ac:dyDescent="0.4">
      <c r="B107" s="104"/>
      <c r="C107" s="104"/>
    </row>
    <row r="108" spans="2:3" ht="16.2" customHeight="1" x14ac:dyDescent="0.4">
      <c r="B108" s="104"/>
      <c r="C108" s="104"/>
    </row>
  </sheetData>
  <phoneticPr fontId="3" type="noConversion"/>
  <conditionalFormatting sqref="F3:F36">
    <cfRule type="cellIs" dxfId="82" priority="3" operator="lessThan">
      <formula>0</formula>
    </cfRule>
    <cfRule type="cellIs" dxfId="81" priority="4" operator="greaterThan">
      <formula>0</formula>
    </cfRule>
  </conditionalFormatting>
  <conditionalFormatting sqref="H3:H36 J3:J36 L3:L36 N3:N36 P3:P36 R3:R36">
    <cfRule type="cellIs" dxfId="80" priority="1" operator="lessThan">
      <formula>0</formula>
    </cfRule>
    <cfRule type="cellIs" dxfId="79" priority="2" operator="greaterThan">
      <formula>0</formula>
    </cfRule>
  </conditionalFormatting>
  <pageMargins left="0.25" right="0.25" top="0.75" bottom="0.75" header="0.3" footer="0.3"/>
  <pageSetup paperSize="9" scale="4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481A4-3C9F-499D-9ADF-9FF0381ACB29}">
  <sheetPr>
    <pageSetUpPr fitToPage="1"/>
  </sheetPr>
  <dimension ref="A1:BN91"/>
  <sheetViews>
    <sheetView showGridLines="0" view="pageBreakPreview" zoomScaleNormal="100" zoomScaleSheetLayoutView="100" workbookViewId="0">
      <pane xSplit="4" ySplit="2" topLeftCell="E3" activePane="bottomRight" state="frozen"/>
      <selection pane="topRight" activeCell="D1" sqref="D1"/>
      <selection pane="bottomLeft" activeCell="A2" sqref="A2"/>
      <selection pane="bottomRight" activeCell="S29" sqref="S29"/>
    </sheetView>
  </sheetViews>
  <sheetFormatPr defaultColWidth="8.69921875" defaultRowHeight="16.95" customHeight="1" outlineLevelCol="1" x14ac:dyDescent="0.4"/>
  <cols>
    <col min="1" max="1" width="7" style="156" bestFit="1" customWidth="1"/>
    <col min="2" max="2" width="3.5" style="37" customWidth="1"/>
    <col min="3" max="3" width="16.69921875" style="11" customWidth="1"/>
    <col min="4" max="4" width="25.69921875" style="11" customWidth="1"/>
    <col min="5" max="6" width="9.19921875" style="206" customWidth="1" outlineLevel="1"/>
    <col min="7" max="7" width="7.09765625" style="785" customWidth="1" outlineLevel="1"/>
    <col min="8" max="8" width="9.19921875" style="206" customWidth="1" outlineLevel="1"/>
    <col min="9" max="9" width="7.09765625" style="785" customWidth="1" outlineLevel="1"/>
    <col min="10" max="10" width="9.19921875" style="206" customWidth="1" outlineLevel="1"/>
    <col min="11" max="11" width="7.09765625" style="785" customWidth="1" outlineLevel="1"/>
    <col min="12" max="12" width="9.19921875" style="206" customWidth="1"/>
    <col min="13" max="13" width="8" style="785" bestFit="1" customWidth="1"/>
    <col min="14" max="14" width="9.19921875" style="206" customWidth="1"/>
    <col min="15" max="15" width="9.3984375" style="785" bestFit="1" customWidth="1"/>
    <col min="16" max="16" width="9.19921875" style="206" customWidth="1"/>
    <col min="17" max="17" width="7.09765625" style="785" bestFit="1" customWidth="1"/>
    <col min="18" max="18" width="9.19921875" style="206" customWidth="1"/>
    <col min="19" max="19" width="8" style="785" bestFit="1" customWidth="1"/>
    <col min="20" max="20" width="4.5" style="11" customWidth="1"/>
    <col min="21" max="16384" width="8.69921875" style="11"/>
  </cols>
  <sheetData>
    <row r="1" spans="1:66" ht="16.2" customHeight="1" x14ac:dyDescent="0.4">
      <c r="A1" s="157"/>
      <c r="B1" s="21" t="s">
        <v>159</v>
      </c>
      <c r="C1" s="21"/>
      <c r="E1" s="546"/>
      <c r="F1" s="546"/>
      <c r="H1" s="546"/>
      <c r="J1" s="546"/>
      <c r="L1" s="546"/>
      <c r="N1" s="546"/>
      <c r="P1" s="546"/>
      <c r="R1" s="11" t="s">
        <v>405</v>
      </c>
      <c r="T1" s="10"/>
      <c r="U1" s="10"/>
      <c r="W1" s="10"/>
      <c r="X1" s="10"/>
      <c r="AD1" s="10"/>
      <c r="AF1" s="10"/>
      <c r="AG1" s="10"/>
      <c r="AI1" s="10"/>
      <c r="AJ1" s="10"/>
      <c r="AM1" s="10"/>
      <c r="AP1" s="10"/>
      <c r="AR1" s="10"/>
      <c r="AS1" s="10"/>
      <c r="AU1" s="10"/>
      <c r="AV1" s="10"/>
      <c r="AY1" s="10"/>
      <c r="BB1" s="10"/>
      <c r="BD1" s="10"/>
      <c r="BE1" s="10"/>
      <c r="BG1" s="10"/>
      <c r="BH1" s="10"/>
      <c r="BK1" s="10"/>
      <c r="BN1" s="10"/>
    </row>
    <row r="2" spans="1:66" s="21" customFormat="1" ht="16.2" customHeight="1" x14ac:dyDescent="0.4">
      <c r="A2" s="156"/>
      <c r="B2" s="559"/>
      <c r="C2" s="560" t="str">
        <f>BS_Quarterly!C2</f>
        <v>(단위 : 백만원)</v>
      </c>
      <c r="D2" s="46" t="str">
        <f>BS_Quarterly!D2</f>
        <v>(Unit: Million KRW)</v>
      </c>
      <c r="E2" s="392">
        <v>2017</v>
      </c>
      <c r="F2" s="392">
        <v>2018</v>
      </c>
      <c r="G2" s="786" t="s">
        <v>0</v>
      </c>
      <c r="H2" s="392">
        <v>2019</v>
      </c>
      <c r="I2" s="786" t="s">
        <v>0</v>
      </c>
      <c r="J2" s="392">
        <v>2020</v>
      </c>
      <c r="K2" s="786" t="s">
        <v>0</v>
      </c>
      <c r="L2" s="392">
        <v>2021</v>
      </c>
      <c r="M2" s="786" t="s">
        <v>0</v>
      </c>
      <c r="N2" s="392">
        <v>2022</v>
      </c>
      <c r="O2" s="786" t="s">
        <v>0</v>
      </c>
      <c r="P2" s="392">
        <v>2023</v>
      </c>
      <c r="Q2" s="786" t="s">
        <v>0</v>
      </c>
      <c r="R2" s="392">
        <v>2024</v>
      </c>
      <c r="S2" s="786" t="s">
        <v>0</v>
      </c>
      <c r="T2" s="55"/>
      <c r="U2" s="55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21" customFormat="1" ht="16.2" customHeight="1" x14ac:dyDescent="0.4">
      <c r="A3" s="156"/>
      <c r="B3" s="561" t="str">
        <f>BS_Quarterly!B3</f>
        <v>자산</v>
      </c>
      <c r="C3" s="562"/>
      <c r="D3" s="553" t="str">
        <f>BS_Quarterly!D3</f>
        <v>Total assets</v>
      </c>
      <c r="E3" s="548">
        <f>E14+E4</f>
        <v>63161.123272000004</v>
      </c>
      <c r="F3" s="548">
        <v>75677.203787000006</v>
      </c>
      <c r="G3" s="787">
        <f t="shared" ref="G3:G15" si="0">IFERROR(F3/E3-1,0)</f>
        <v>0.19816114512562044</v>
      </c>
      <c r="H3" s="548">
        <v>113657.44126300002</v>
      </c>
      <c r="I3" s="787">
        <f t="shared" ref="I3:I51" si="1">IFERROR(H3/F3-1,0)</f>
        <v>0.50187157526193293</v>
      </c>
      <c r="J3" s="548">
        <v>137526.116239</v>
      </c>
      <c r="K3" s="787">
        <f t="shared" ref="K3:K51" si="2">IFERROR(J3/H3-1,0)</f>
        <v>0.2100053873355161</v>
      </c>
      <c r="L3" s="548">
        <v>216379.20556199999</v>
      </c>
      <c r="M3" s="787">
        <f t="shared" ref="M3:M51" si="3">IFERROR(L3/J3-1,0)</f>
        <v>0.57336810985024123</v>
      </c>
      <c r="N3" s="548">
        <v>331411.10808899999</v>
      </c>
      <c r="O3" s="787">
        <f t="shared" ref="O3:Q51" si="4">IFERROR(N3/L3-1,0)</f>
        <v>0.53162179899971695</v>
      </c>
      <c r="P3" s="548">
        <v>375443.02176100004</v>
      </c>
      <c r="Q3" s="787">
        <f t="shared" si="4"/>
        <v>0.13286191258313318</v>
      </c>
      <c r="R3" s="548">
        <v>608378.808831</v>
      </c>
      <c r="S3" s="787">
        <f t="shared" ref="S3:S51" si="5">IFERROR(R3/P3-1,0)</f>
        <v>0.62042912923890348</v>
      </c>
      <c r="T3" s="55"/>
      <c r="U3" s="55"/>
      <c r="V3" s="135"/>
      <c r="W3" s="55"/>
      <c r="X3" s="55"/>
      <c r="Y3" s="135"/>
      <c r="Z3" s="55"/>
      <c r="AA3" s="55"/>
      <c r="AB3" s="135"/>
      <c r="AC3" s="55"/>
      <c r="AD3" s="55"/>
      <c r="AE3" s="135"/>
      <c r="AF3" s="55"/>
      <c r="AG3" s="55"/>
      <c r="AH3" s="135"/>
      <c r="AI3" s="55"/>
      <c r="AJ3" s="55"/>
      <c r="AK3" s="135"/>
      <c r="AL3" s="55"/>
      <c r="AM3" s="55"/>
      <c r="AN3" s="135"/>
      <c r="AO3" s="55"/>
      <c r="AP3" s="55"/>
      <c r="AQ3" s="135"/>
      <c r="AR3" s="55"/>
      <c r="AS3" s="55"/>
      <c r="AT3" s="135"/>
      <c r="AU3" s="55"/>
      <c r="AV3" s="55"/>
      <c r="AW3" s="135"/>
      <c r="AX3" s="55"/>
      <c r="AY3" s="55"/>
      <c r="AZ3" s="135"/>
      <c r="BA3" s="55"/>
      <c r="BB3" s="55"/>
      <c r="BC3" s="135"/>
      <c r="BD3" s="55"/>
      <c r="BE3" s="55"/>
      <c r="BF3" s="135"/>
      <c r="BG3" s="55"/>
      <c r="BH3" s="55"/>
      <c r="BI3" s="135"/>
      <c r="BJ3" s="55"/>
      <c r="BK3" s="55"/>
      <c r="BL3" s="135"/>
      <c r="BM3" s="55"/>
      <c r="BN3" s="55"/>
    </row>
    <row r="4" spans="1:66" s="21" customFormat="1" ht="16.2" customHeight="1" x14ac:dyDescent="0.4">
      <c r="A4" s="156"/>
      <c r="B4" s="563" t="str">
        <f>BS_Quarterly!B4</f>
        <v>　유동자산</v>
      </c>
      <c r="C4" s="564"/>
      <c r="D4" s="554" t="str">
        <f>BS_Quarterly!D4</f>
        <v>Current assets</v>
      </c>
      <c r="E4" s="549">
        <f>SUM(E5:E13)</f>
        <v>27683.050808</v>
      </c>
      <c r="F4" s="549">
        <v>26596.473248000002</v>
      </c>
      <c r="G4" s="788">
        <f t="shared" si="0"/>
        <v>-3.9250643562955601E-2</v>
      </c>
      <c r="H4" s="549">
        <v>57647.141853000001</v>
      </c>
      <c r="I4" s="788">
        <f t="shared" si="1"/>
        <v>1.1674731576426187</v>
      </c>
      <c r="J4" s="549">
        <v>83012.388495000007</v>
      </c>
      <c r="K4" s="788">
        <f t="shared" si="2"/>
        <v>0.44000874677674906</v>
      </c>
      <c r="L4" s="549">
        <v>73140.020852000001</v>
      </c>
      <c r="M4" s="788">
        <f t="shared" si="3"/>
        <v>-0.11892643763159083</v>
      </c>
      <c r="N4" s="549">
        <v>147788.69051699998</v>
      </c>
      <c r="O4" s="788">
        <f t="shared" si="4"/>
        <v>1.0206268578464415</v>
      </c>
      <c r="P4" s="549">
        <v>185737.48307700001</v>
      </c>
      <c r="Q4" s="788">
        <f t="shared" si="4"/>
        <v>0.25677737875101347</v>
      </c>
      <c r="R4" s="549">
        <v>234201.82322299996</v>
      </c>
      <c r="S4" s="788">
        <f t="shared" si="5"/>
        <v>0.26092923917736299</v>
      </c>
      <c r="T4" s="55"/>
      <c r="U4" s="55"/>
      <c r="V4" s="135"/>
      <c r="W4" s="55"/>
      <c r="X4" s="55"/>
      <c r="Y4" s="135"/>
      <c r="Z4" s="55"/>
      <c r="AA4" s="55"/>
      <c r="AB4" s="135"/>
      <c r="AC4" s="55"/>
      <c r="AD4" s="55"/>
      <c r="AE4" s="135"/>
      <c r="AF4" s="55"/>
      <c r="AG4" s="55"/>
      <c r="AH4" s="135"/>
      <c r="AI4" s="55"/>
      <c r="AJ4" s="55"/>
      <c r="AK4" s="135"/>
      <c r="AL4" s="55"/>
      <c r="AM4" s="55"/>
      <c r="AN4" s="135"/>
      <c r="AO4" s="55"/>
      <c r="AP4" s="55"/>
      <c r="AQ4" s="135"/>
      <c r="AR4" s="55"/>
      <c r="AS4" s="55"/>
      <c r="AT4" s="135"/>
      <c r="AU4" s="55"/>
      <c r="AV4" s="55"/>
      <c r="AW4" s="135"/>
      <c r="AX4" s="55"/>
      <c r="AY4" s="55"/>
      <c r="AZ4" s="135"/>
      <c r="BA4" s="55"/>
      <c r="BB4" s="55"/>
      <c r="BC4" s="135"/>
      <c r="BD4" s="55"/>
      <c r="BE4" s="55"/>
      <c r="BF4" s="135"/>
      <c r="BG4" s="55"/>
      <c r="BH4" s="55"/>
      <c r="BI4" s="135"/>
      <c r="BJ4" s="55"/>
      <c r="BK4" s="55"/>
      <c r="BL4" s="135"/>
      <c r="BM4" s="55"/>
      <c r="BN4" s="55"/>
    </row>
    <row r="5" spans="1:66" ht="16.2" customHeight="1" x14ac:dyDescent="0.4">
      <c r="A5" s="491"/>
      <c r="B5" s="565"/>
      <c r="C5" s="566" t="str">
        <f>BS_Quarterly!C5</f>
        <v>현금및현금성자산</v>
      </c>
      <c r="D5" s="555" t="str">
        <f>BS_Quarterly!D5</f>
        <v>Cash &amp; Cash Equivalents</v>
      </c>
      <c r="E5" s="550">
        <v>19219.930971999998</v>
      </c>
      <c r="F5" s="550">
        <v>10471.172528999999</v>
      </c>
      <c r="G5" s="789">
        <f t="shared" si="0"/>
        <v>-0.45519198043662978</v>
      </c>
      <c r="H5" s="550">
        <v>33976.505980000002</v>
      </c>
      <c r="I5" s="789">
        <f t="shared" si="1"/>
        <v>2.2447661315771263</v>
      </c>
      <c r="J5" s="550">
        <v>64383.495927999997</v>
      </c>
      <c r="K5" s="789">
        <f t="shared" si="2"/>
        <v>0.89494163896366574</v>
      </c>
      <c r="L5" s="550">
        <v>42788.254095999997</v>
      </c>
      <c r="M5" s="789">
        <f t="shared" si="3"/>
        <v>-0.33541580059818343</v>
      </c>
      <c r="N5" s="550">
        <v>26004.48544</v>
      </c>
      <c r="O5" s="789">
        <f t="shared" si="4"/>
        <v>-0.39225177588091875</v>
      </c>
      <c r="P5" s="550">
        <v>18336.205417000001</v>
      </c>
      <c r="Q5" s="789">
        <f t="shared" si="4"/>
        <v>-0.29488297473499248</v>
      </c>
      <c r="R5" s="550">
        <v>22745.070820000001</v>
      </c>
      <c r="S5" s="789">
        <f t="shared" si="5"/>
        <v>0.24044589939597971</v>
      </c>
      <c r="T5" s="55"/>
      <c r="U5" s="55"/>
      <c r="V5" s="136"/>
      <c r="W5" s="55"/>
      <c r="X5" s="55"/>
      <c r="Y5" s="136"/>
      <c r="Z5" s="55"/>
      <c r="AA5" s="55"/>
      <c r="AB5" s="136"/>
      <c r="AC5" s="55"/>
      <c r="AD5" s="55"/>
      <c r="AE5" s="136"/>
      <c r="AF5" s="55"/>
      <c r="AG5" s="55"/>
      <c r="AH5" s="136"/>
      <c r="AI5" s="55"/>
      <c r="AJ5" s="55"/>
      <c r="AK5" s="136"/>
      <c r="AL5" s="55"/>
      <c r="AM5" s="55"/>
      <c r="AN5" s="136"/>
      <c r="AO5" s="55"/>
      <c r="AP5" s="55"/>
      <c r="AQ5" s="136"/>
      <c r="AR5" s="55"/>
      <c r="AS5" s="55"/>
      <c r="AT5" s="136"/>
      <c r="AU5" s="55"/>
      <c r="AV5" s="55"/>
      <c r="AW5" s="136"/>
      <c r="AX5" s="55"/>
      <c r="AY5" s="55"/>
      <c r="AZ5" s="136"/>
      <c r="BA5" s="55"/>
      <c r="BB5" s="55"/>
      <c r="BC5" s="136"/>
      <c r="BD5" s="55"/>
      <c r="BE5" s="55"/>
      <c r="BF5" s="136"/>
      <c r="BG5" s="55"/>
      <c r="BH5" s="55"/>
      <c r="BI5" s="136"/>
      <c r="BJ5" s="55"/>
      <c r="BK5" s="55"/>
      <c r="BL5" s="136"/>
      <c r="BM5" s="55"/>
      <c r="BN5" s="55"/>
    </row>
    <row r="6" spans="1:66" ht="16.2" customHeight="1" x14ac:dyDescent="0.4">
      <c r="A6" s="491"/>
      <c r="B6" s="565"/>
      <c r="C6" s="566" t="str">
        <f>BS_Quarterly!C6</f>
        <v>단기금융상품</v>
      </c>
      <c r="D6" s="555" t="str">
        <f>BS_Quarterly!D6</f>
        <v>Short-Term Financial Instruments</v>
      </c>
      <c r="E6" s="550">
        <v>203.91583299999999</v>
      </c>
      <c r="F6" s="550">
        <v>6000</v>
      </c>
      <c r="G6" s="789">
        <f t="shared" si="0"/>
        <v>28.423904518488275</v>
      </c>
      <c r="H6" s="550">
        <v>7000</v>
      </c>
      <c r="I6" s="789">
        <f t="shared" si="1"/>
        <v>0.16666666666666674</v>
      </c>
      <c r="J6" s="550">
        <v>3240.7064639999999</v>
      </c>
      <c r="K6" s="789">
        <f t="shared" si="2"/>
        <v>-0.53704193371428577</v>
      </c>
      <c r="L6" s="550">
        <v>0</v>
      </c>
      <c r="M6" s="789">
        <f t="shared" si="3"/>
        <v>-1</v>
      </c>
      <c r="N6" s="550">
        <v>65377.445899999999</v>
      </c>
      <c r="O6" s="789">
        <f t="shared" si="4"/>
        <v>0</v>
      </c>
      <c r="P6" s="550">
        <v>90365.422000000006</v>
      </c>
      <c r="Q6" s="789">
        <f t="shared" si="4"/>
        <v>0.38221095602635047</v>
      </c>
      <c r="R6" s="550">
        <v>135296.36077599999</v>
      </c>
      <c r="S6" s="789">
        <f t="shared" si="5"/>
        <v>0.49721384332161889</v>
      </c>
      <c r="T6" s="55"/>
      <c r="U6" s="55"/>
      <c r="V6" s="136"/>
      <c r="W6" s="55"/>
      <c r="X6" s="55"/>
      <c r="Y6" s="136"/>
      <c r="Z6" s="55"/>
      <c r="AA6" s="55"/>
      <c r="AB6" s="136"/>
      <c r="AC6" s="55"/>
      <c r="AD6" s="55"/>
      <c r="AE6" s="136"/>
      <c r="AF6" s="55"/>
      <c r="AG6" s="55"/>
      <c r="AH6" s="136"/>
      <c r="AI6" s="55"/>
      <c r="AJ6" s="55"/>
      <c r="AK6" s="136"/>
      <c r="AL6" s="55"/>
      <c r="AM6" s="55"/>
      <c r="AN6" s="136"/>
      <c r="AO6" s="55"/>
      <c r="AP6" s="55"/>
      <c r="AQ6" s="136"/>
      <c r="AR6" s="55"/>
      <c r="AS6" s="55"/>
      <c r="AT6" s="136"/>
      <c r="AU6" s="55"/>
      <c r="AV6" s="55"/>
      <c r="AW6" s="136"/>
      <c r="AX6" s="55"/>
      <c r="AY6" s="55"/>
      <c r="AZ6" s="136"/>
      <c r="BA6" s="55"/>
      <c r="BB6" s="55"/>
      <c r="BC6" s="136"/>
      <c r="BD6" s="55"/>
      <c r="BE6" s="55"/>
      <c r="BF6" s="136"/>
      <c r="BG6" s="55"/>
      <c r="BH6" s="55"/>
      <c r="BI6" s="136"/>
      <c r="BJ6" s="55"/>
      <c r="BK6" s="55"/>
      <c r="BL6" s="136"/>
      <c r="BM6" s="55"/>
      <c r="BN6" s="55"/>
    </row>
    <row r="7" spans="1:66" ht="16.2" customHeight="1" x14ac:dyDescent="0.4">
      <c r="A7" s="491"/>
      <c r="B7" s="565"/>
      <c r="C7" s="566" t="str">
        <f>BS_Quarterly!C7</f>
        <v>당기손익-공정가치측정금융자산(유동)</v>
      </c>
      <c r="D7" s="555" t="str">
        <f>BS_Quarterly!D7</f>
        <v xml:space="preserve">Fair Value Through Profit or Loss </v>
      </c>
      <c r="E7" s="550">
        <v>0</v>
      </c>
      <c r="F7" s="550" t="s">
        <v>126</v>
      </c>
      <c r="G7" s="789">
        <f t="shared" si="0"/>
        <v>0</v>
      </c>
      <c r="H7" s="550">
        <v>4047.4812969999998</v>
      </c>
      <c r="I7" s="789">
        <f t="shared" si="1"/>
        <v>0</v>
      </c>
      <c r="J7" s="550">
        <v>0</v>
      </c>
      <c r="K7" s="789">
        <f t="shared" si="2"/>
        <v>-1</v>
      </c>
      <c r="L7" s="550">
        <v>5125.0814609999998</v>
      </c>
      <c r="M7" s="789">
        <f t="shared" si="3"/>
        <v>0</v>
      </c>
      <c r="N7" s="550">
        <v>20198.635245000001</v>
      </c>
      <c r="O7" s="789">
        <f t="shared" si="4"/>
        <v>2.9411344773159698</v>
      </c>
      <c r="P7" s="550">
        <v>28155.177630999999</v>
      </c>
      <c r="Q7" s="789">
        <f t="shared" si="4"/>
        <v>0.39391485065653487</v>
      </c>
      <c r="R7" s="550">
        <v>0</v>
      </c>
      <c r="S7" s="789">
        <f t="shared" si="5"/>
        <v>-1</v>
      </c>
      <c r="T7" s="55"/>
      <c r="U7" s="55"/>
      <c r="V7" s="136"/>
      <c r="W7" s="55"/>
      <c r="X7" s="55"/>
      <c r="Y7" s="136"/>
      <c r="Z7" s="55"/>
      <c r="AA7" s="55"/>
      <c r="AB7" s="136"/>
      <c r="AC7" s="55"/>
      <c r="AD7" s="55"/>
      <c r="AE7" s="136"/>
      <c r="AF7" s="55"/>
      <c r="AG7" s="55"/>
      <c r="AH7" s="136"/>
      <c r="AI7" s="55"/>
      <c r="AJ7" s="55"/>
      <c r="AK7" s="136"/>
      <c r="AL7" s="55"/>
      <c r="AM7" s="55"/>
      <c r="AN7" s="136"/>
      <c r="AO7" s="55"/>
      <c r="AP7" s="55"/>
      <c r="AQ7" s="136"/>
      <c r="AR7" s="55"/>
      <c r="AS7" s="55"/>
      <c r="AT7" s="136"/>
      <c r="AU7" s="55"/>
      <c r="AV7" s="55"/>
      <c r="AW7" s="136"/>
      <c r="AX7" s="55"/>
      <c r="AY7" s="55"/>
      <c r="AZ7" s="136"/>
      <c r="BA7" s="55"/>
      <c r="BB7" s="55"/>
      <c r="BC7" s="136"/>
      <c r="BD7" s="55"/>
      <c r="BE7" s="55"/>
      <c r="BF7" s="136"/>
      <c r="BG7" s="55"/>
      <c r="BH7" s="55"/>
      <c r="BI7" s="136"/>
      <c r="BJ7" s="55"/>
      <c r="BK7" s="55"/>
      <c r="BL7" s="136"/>
      <c r="BM7" s="55"/>
      <c r="BN7" s="55"/>
    </row>
    <row r="8" spans="1:66" ht="16.2" customHeight="1" x14ac:dyDescent="0.4">
      <c r="A8" s="491"/>
      <c r="B8" s="565"/>
      <c r="C8" s="566" t="str">
        <f>BS_Quarterly!C8</f>
        <v>매출채권</v>
      </c>
      <c r="D8" s="556" t="str">
        <f>BS_Quarterly!D8</f>
        <v>Accounts Receivable</v>
      </c>
      <c r="E8" s="550">
        <v>2062.7539999999999</v>
      </c>
      <c r="F8" s="550">
        <v>2132.5619999999999</v>
      </c>
      <c r="G8" s="789">
        <f t="shared" si="0"/>
        <v>3.3842135320062416E-2</v>
      </c>
      <c r="H8" s="550">
        <v>2513.42</v>
      </c>
      <c r="I8" s="789">
        <f t="shared" si="1"/>
        <v>0.17859175958307438</v>
      </c>
      <c r="J8" s="550">
        <v>3029.52</v>
      </c>
      <c r="K8" s="789">
        <f t="shared" si="2"/>
        <v>0.20533774697424212</v>
      </c>
      <c r="L8" s="550">
        <v>1722.3910000000001</v>
      </c>
      <c r="M8" s="789">
        <f t="shared" si="3"/>
        <v>-0.43146406031318485</v>
      </c>
      <c r="N8" s="550">
        <v>6862.3</v>
      </c>
      <c r="O8" s="789">
        <f t="shared" si="4"/>
        <v>2.9841708415801058</v>
      </c>
      <c r="P8" s="550">
        <v>17255.562999999998</v>
      </c>
      <c r="Q8" s="789">
        <f t="shared" si="4"/>
        <v>1.514545123355143</v>
      </c>
      <c r="R8" s="550">
        <v>36937.003925999998</v>
      </c>
      <c r="S8" s="789">
        <f t="shared" si="5"/>
        <v>1.1405852666760281</v>
      </c>
      <c r="T8" s="55"/>
      <c r="U8" s="55"/>
      <c r="V8" s="136"/>
      <c r="W8" s="55"/>
      <c r="X8" s="55"/>
      <c r="Y8" s="136"/>
      <c r="Z8" s="55"/>
      <c r="AA8" s="55"/>
      <c r="AB8" s="136"/>
      <c r="AC8" s="55"/>
      <c r="AD8" s="55"/>
      <c r="AE8" s="136"/>
      <c r="AF8" s="55"/>
      <c r="AG8" s="55"/>
      <c r="AH8" s="136"/>
      <c r="AI8" s="55"/>
      <c r="AJ8" s="55"/>
      <c r="AK8" s="136"/>
      <c r="AL8" s="55"/>
      <c r="AM8" s="55"/>
      <c r="AN8" s="136"/>
      <c r="AO8" s="55"/>
      <c r="AP8" s="55"/>
      <c r="AQ8" s="136"/>
      <c r="AR8" s="55"/>
      <c r="AS8" s="55"/>
      <c r="AT8" s="136"/>
      <c r="AU8" s="55"/>
      <c r="AV8" s="55"/>
      <c r="AW8" s="136"/>
      <c r="AX8" s="55"/>
      <c r="AY8" s="55"/>
      <c r="AZ8" s="136"/>
      <c r="BA8" s="55"/>
      <c r="BB8" s="55"/>
      <c r="BC8" s="136"/>
      <c r="BD8" s="55"/>
      <c r="BE8" s="55"/>
      <c r="BF8" s="136"/>
      <c r="BG8" s="55"/>
      <c r="BH8" s="55"/>
      <c r="BI8" s="136"/>
      <c r="BJ8" s="55"/>
      <c r="BK8" s="55"/>
      <c r="BL8" s="136"/>
      <c r="BM8" s="55"/>
      <c r="BN8" s="55"/>
    </row>
    <row r="9" spans="1:66" ht="16.2" customHeight="1" x14ac:dyDescent="0.4">
      <c r="A9" s="491"/>
      <c r="B9" s="565"/>
      <c r="C9" s="566" t="str">
        <f>BS_Quarterly!C9</f>
        <v>기타채권</v>
      </c>
      <c r="D9" s="556" t="str">
        <f>BS_Quarterly!D9</f>
        <v xml:space="preserve">Other Receivables </v>
      </c>
      <c r="E9" s="550">
        <v>220.97900000000001</v>
      </c>
      <c r="F9" s="550">
        <v>409.06799999999998</v>
      </c>
      <c r="G9" s="789">
        <f t="shared" ref="G9" si="6">IFERROR(F9/E9-1,0)</f>
        <v>0.85116232764199284</v>
      </c>
      <c r="H9" s="550">
        <v>614.09299999999996</v>
      </c>
      <c r="I9" s="789">
        <f t="shared" ref="I9" si="7">IFERROR(H9/F9-1,0)</f>
        <v>0.50120028943843065</v>
      </c>
      <c r="J9" s="550">
        <v>437.346</v>
      </c>
      <c r="K9" s="789">
        <f t="shared" ref="K9" si="8">IFERROR(J9/H9-1,0)</f>
        <v>-0.28781796893955791</v>
      </c>
      <c r="L9" s="550">
        <v>393.51100000000002</v>
      </c>
      <c r="M9" s="789">
        <f t="shared" ref="M9" si="9">IFERROR(L9/J9-1,0)</f>
        <v>-0.10022956652170134</v>
      </c>
      <c r="N9" s="550">
        <v>1141.683</v>
      </c>
      <c r="O9" s="789">
        <f t="shared" ref="O9" si="10">IFERROR(N9/L9-1,0)</f>
        <v>1.9012734078589921</v>
      </c>
      <c r="P9" s="550">
        <v>455.27699999999999</v>
      </c>
      <c r="Q9" s="789">
        <f t="shared" ref="Q9" si="11">IFERROR(P9/N9-1,0)</f>
        <v>-0.6012229314091565</v>
      </c>
      <c r="R9" s="550">
        <v>3586.2694080000001</v>
      </c>
      <c r="S9" s="789">
        <f t="shared" ref="S9" si="12">IFERROR(R9/P9-1,0)</f>
        <v>6.877115268287219</v>
      </c>
      <c r="T9" s="55"/>
      <c r="U9" s="55"/>
      <c r="V9" s="136"/>
      <c r="W9" s="55"/>
      <c r="X9" s="55"/>
      <c r="Y9" s="136"/>
      <c r="Z9" s="55"/>
      <c r="AA9" s="55"/>
      <c r="AB9" s="136"/>
      <c r="AC9" s="55"/>
      <c r="AD9" s="55"/>
      <c r="AE9" s="136"/>
      <c r="AF9" s="55"/>
      <c r="AG9" s="55"/>
      <c r="AH9" s="136"/>
      <c r="AI9" s="55"/>
      <c r="AJ9" s="55"/>
      <c r="AK9" s="136"/>
      <c r="AL9" s="55"/>
      <c r="AM9" s="55"/>
      <c r="AN9" s="136"/>
      <c r="AO9" s="55"/>
      <c r="AP9" s="55"/>
      <c r="AQ9" s="136"/>
      <c r="AR9" s="55"/>
      <c r="AS9" s="55"/>
      <c r="AT9" s="136"/>
      <c r="AU9" s="55"/>
      <c r="AV9" s="55"/>
      <c r="AW9" s="136"/>
      <c r="AX9" s="55"/>
      <c r="AY9" s="55"/>
      <c r="AZ9" s="136"/>
      <c r="BA9" s="55"/>
      <c r="BB9" s="55"/>
      <c r="BC9" s="136"/>
      <c r="BD9" s="55"/>
      <c r="BE9" s="55"/>
      <c r="BF9" s="136"/>
      <c r="BG9" s="55"/>
      <c r="BH9" s="55"/>
      <c r="BI9" s="136"/>
      <c r="BJ9" s="55"/>
      <c r="BK9" s="55"/>
      <c r="BL9" s="136"/>
      <c r="BM9" s="55"/>
      <c r="BN9" s="55"/>
    </row>
    <row r="10" spans="1:66" ht="16.2" customHeight="1" x14ac:dyDescent="0.4">
      <c r="A10" s="491"/>
      <c r="B10" s="565"/>
      <c r="C10" s="566" t="str">
        <f>BS_Quarterly!C10</f>
        <v>재고자산</v>
      </c>
      <c r="D10" s="555" t="str">
        <f>BS_Quarterly!D10</f>
        <v>Inventories</v>
      </c>
      <c r="E10" s="550">
        <v>5089.1722410000002</v>
      </c>
      <c r="F10" s="550">
        <v>5906.6032720000003</v>
      </c>
      <c r="G10" s="789">
        <f t="shared" si="0"/>
        <v>0.16062160844439766</v>
      </c>
      <c r="H10" s="550">
        <v>8722.7339310000007</v>
      </c>
      <c r="I10" s="789">
        <f t="shared" si="1"/>
        <v>0.47677667338007068</v>
      </c>
      <c r="J10" s="550">
        <v>9940.2947380000005</v>
      </c>
      <c r="K10" s="789">
        <f t="shared" si="2"/>
        <v>0.13958476970997258</v>
      </c>
      <c r="L10" s="550">
        <v>16465.363683</v>
      </c>
      <c r="M10" s="789">
        <f t="shared" si="3"/>
        <v>0.6564261037508079</v>
      </c>
      <c r="N10" s="550">
        <v>23397.666986</v>
      </c>
      <c r="O10" s="789">
        <f t="shared" si="4"/>
        <v>0.42102339410561562</v>
      </c>
      <c r="P10" s="550">
        <v>19434.327936000002</v>
      </c>
      <c r="Q10" s="789">
        <f t="shared" si="4"/>
        <v>-0.16939035213944464</v>
      </c>
      <c r="R10" s="550">
        <v>29999.806868</v>
      </c>
      <c r="S10" s="789">
        <f t="shared" si="5"/>
        <v>0.54365033701158172</v>
      </c>
      <c r="T10" s="55"/>
      <c r="U10" s="55"/>
      <c r="V10" s="136"/>
      <c r="W10" s="55"/>
      <c r="X10" s="55"/>
      <c r="Y10" s="136"/>
      <c r="Z10" s="55"/>
      <c r="AA10" s="55"/>
      <c r="AB10" s="136"/>
      <c r="AC10" s="55"/>
      <c r="AD10" s="55"/>
      <c r="AE10" s="136"/>
      <c r="AF10" s="55"/>
      <c r="AG10" s="55"/>
      <c r="AH10" s="136"/>
      <c r="AI10" s="55"/>
      <c r="AJ10" s="55"/>
      <c r="AK10" s="136"/>
      <c r="AL10" s="55"/>
      <c r="AM10" s="55"/>
      <c r="AN10" s="136"/>
      <c r="AO10" s="55"/>
      <c r="AP10" s="55"/>
      <c r="AQ10" s="136"/>
      <c r="AR10" s="55"/>
      <c r="AS10" s="55"/>
      <c r="AT10" s="136"/>
      <c r="AU10" s="55"/>
      <c r="AV10" s="55"/>
      <c r="AW10" s="136"/>
      <c r="AX10" s="55"/>
      <c r="AY10" s="55"/>
      <c r="AZ10" s="136"/>
      <c r="BA10" s="55"/>
      <c r="BB10" s="55"/>
      <c r="BC10" s="136"/>
      <c r="BD10" s="55"/>
      <c r="BE10" s="55"/>
      <c r="BF10" s="136"/>
      <c r="BG10" s="55"/>
      <c r="BH10" s="55"/>
      <c r="BI10" s="136"/>
      <c r="BJ10" s="55"/>
      <c r="BK10" s="55"/>
      <c r="BL10" s="136"/>
      <c r="BM10" s="55"/>
      <c r="BN10" s="55"/>
    </row>
    <row r="11" spans="1:66" ht="16.2" customHeight="1" x14ac:dyDescent="0.4">
      <c r="A11" s="491"/>
      <c r="B11" s="565"/>
      <c r="C11" s="566" t="str">
        <f>BS_Quarterly!C11</f>
        <v>기타금융자산</v>
      </c>
      <c r="D11" s="555" t="str">
        <f>BS_Quarterly!D11</f>
        <v>Other Financial Assets</v>
      </c>
      <c r="E11" s="550">
        <v>17.173566000000001</v>
      </c>
      <c r="F11" s="550">
        <v>82.696438000000001</v>
      </c>
      <c r="G11" s="789">
        <f t="shared" si="0"/>
        <v>3.8153329366772164</v>
      </c>
      <c r="H11" s="550">
        <v>35.646574000000001</v>
      </c>
      <c r="I11" s="789">
        <f t="shared" si="1"/>
        <v>-0.56894668183894448</v>
      </c>
      <c r="J11" s="550">
        <v>1467.640085</v>
      </c>
      <c r="K11" s="789">
        <f t="shared" si="2"/>
        <v>40.171981492527159</v>
      </c>
      <c r="L11" s="550">
        <v>905.86345500000004</v>
      </c>
      <c r="M11" s="789">
        <f t="shared" si="3"/>
        <v>-0.38277547454694927</v>
      </c>
      <c r="N11" s="550">
        <v>2076.639142</v>
      </c>
      <c r="O11" s="789">
        <f t="shared" si="4"/>
        <v>1.2924416815114812</v>
      </c>
      <c r="P11" s="550">
        <v>1432.729934</v>
      </c>
      <c r="Q11" s="789">
        <f t="shared" si="4"/>
        <v>-0.31007274926921324</v>
      </c>
      <c r="R11" s="550"/>
      <c r="S11" s="789">
        <f t="shared" si="5"/>
        <v>-1</v>
      </c>
      <c r="T11" s="55"/>
      <c r="U11" s="55"/>
      <c r="V11" s="136"/>
      <c r="W11" s="55"/>
      <c r="X11" s="55"/>
      <c r="Y11" s="136"/>
      <c r="Z11" s="55"/>
      <c r="AA11" s="55"/>
      <c r="AB11" s="136"/>
      <c r="AC11" s="55"/>
      <c r="AD11" s="55"/>
      <c r="AE11" s="136"/>
      <c r="AF11" s="55"/>
      <c r="AG11" s="55"/>
      <c r="AH11" s="136"/>
      <c r="AI11" s="55"/>
      <c r="AJ11" s="55"/>
      <c r="AK11" s="136"/>
      <c r="AL11" s="55"/>
      <c r="AM11" s="55"/>
      <c r="AN11" s="136"/>
      <c r="AO11" s="55"/>
      <c r="AP11" s="55"/>
      <c r="AQ11" s="136"/>
      <c r="AR11" s="55"/>
      <c r="AS11" s="55"/>
      <c r="AT11" s="136"/>
      <c r="AU11" s="55"/>
      <c r="AV11" s="55"/>
      <c r="AW11" s="136"/>
      <c r="AX11" s="55"/>
      <c r="AY11" s="55"/>
      <c r="AZ11" s="136"/>
      <c r="BA11" s="55"/>
      <c r="BB11" s="55"/>
      <c r="BC11" s="136"/>
      <c r="BD11" s="55"/>
      <c r="BE11" s="55"/>
      <c r="BF11" s="136"/>
      <c r="BG11" s="55"/>
      <c r="BH11" s="55"/>
      <c r="BI11" s="136"/>
      <c r="BJ11" s="55"/>
      <c r="BK11" s="55"/>
      <c r="BL11" s="136"/>
      <c r="BM11" s="55"/>
      <c r="BN11" s="55"/>
    </row>
    <row r="12" spans="1:66" ht="16.2" customHeight="1" x14ac:dyDescent="0.4">
      <c r="A12" s="491"/>
      <c r="B12" s="565"/>
      <c r="C12" s="566" t="str">
        <f>BS_Quarterly!C12</f>
        <v>기타유동자산</v>
      </c>
      <c r="D12" s="555" t="str">
        <f>BS_Quarterly!D12</f>
        <v>Other Current Assets</v>
      </c>
      <c r="E12" s="550">
        <v>825.54397900000004</v>
      </c>
      <c r="F12" s="550">
        <v>1589.9533960000001</v>
      </c>
      <c r="G12" s="789">
        <f t="shared" si="0"/>
        <v>0.92594632926273213</v>
      </c>
      <c r="H12" s="550">
        <v>737.09434799999997</v>
      </c>
      <c r="I12" s="789">
        <f t="shared" si="1"/>
        <v>-0.53640506076820893</v>
      </c>
      <c r="J12" s="550">
        <v>511.85772800000001</v>
      </c>
      <c r="K12" s="789">
        <f t="shared" si="2"/>
        <v>-0.30557366314250989</v>
      </c>
      <c r="L12" s="550">
        <v>5715.1206309999998</v>
      </c>
      <c r="M12" s="789">
        <f t="shared" si="3"/>
        <v>10.165447581168491</v>
      </c>
      <c r="N12" s="550">
        <v>2705.3074799999999</v>
      </c>
      <c r="O12" s="789">
        <f t="shared" si="4"/>
        <v>-0.52664035377908713</v>
      </c>
      <c r="P12" s="550">
        <v>10277.253769999999</v>
      </c>
      <c r="Q12" s="789">
        <f t="shared" si="4"/>
        <v>2.7989226163674377</v>
      </c>
      <c r="R12" s="550">
        <v>5608.5786209999997</v>
      </c>
      <c r="S12" s="789">
        <f t="shared" si="5"/>
        <v>-0.45427263483832414</v>
      </c>
      <c r="T12" s="55"/>
      <c r="U12" s="55"/>
      <c r="V12" s="136"/>
      <c r="W12" s="55"/>
      <c r="X12" s="55"/>
      <c r="Y12" s="136"/>
      <c r="Z12" s="55"/>
      <c r="AA12" s="55"/>
      <c r="AB12" s="136"/>
      <c r="AC12" s="55"/>
      <c r="AD12" s="55"/>
      <c r="AE12" s="136"/>
      <c r="AF12" s="55"/>
      <c r="AG12" s="55"/>
      <c r="AH12" s="136"/>
      <c r="AI12" s="55"/>
      <c r="AJ12" s="55"/>
      <c r="AK12" s="136"/>
      <c r="AL12" s="55"/>
      <c r="AM12" s="55"/>
      <c r="AN12" s="136"/>
      <c r="AO12" s="55"/>
      <c r="AP12" s="55"/>
      <c r="AQ12" s="136"/>
      <c r="AR12" s="55"/>
      <c r="AS12" s="55"/>
      <c r="AT12" s="136"/>
      <c r="AU12" s="55"/>
      <c r="AV12" s="55"/>
      <c r="AW12" s="136"/>
      <c r="AX12" s="55"/>
      <c r="AY12" s="55"/>
      <c r="AZ12" s="136"/>
      <c r="BA12" s="55"/>
      <c r="BB12" s="55"/>
      <c r="BC12" s="136"/>
      <c r="BD12" s="55"/>
      <c r="BE12" s="55"/>
      <c r="BF12" s="136"/>
      <c r="BG12" s="55"/>
      <c r="BH12" s="55"/>
      <c r="BI12" s="136"/>
      <c r="BJ12" s="55"/>
      <c r="BK12" s="55"/>
      <c r="BL12" s="136"/>
      <c r="BM12" s="55"/>
      <c r="BN12" s="55"/>
    </row>
    <row r="13" spans="1:66" ht="16.2" customHeight="1" x14ac:dyDescent="0.4">
      <c r="A13" s="491"/>
      <c r="B13" s="565"/>
      <c r="C13" s="566" t="str">
        <f>BS_Quarterly!C13</f>
        <v>당기법인세자산</v>
      </c>
      <c r="D13" s="555" t="str">
        <f>BS_Quarterly!D13</f>
        <v xml:space="preserve">Current Income Tax Assets </v>
      </c>
      <c r="E13" s="550">
        <v>43.581217000000002</v>
      </c>
      <c r="F13" s="550">
        <v>4.4176130000000002</v>
      </c>
      <c r="G13" s="789">
        <f t="shared" si="0"/>
        <v>-0.8986349325673948</v>
      </c>
      <c r="H13" s="550">
        <v>0.16672300000000001</v>
      </c>
      <c r="I13" s="789">
        <f t="shared" si="1"/>
        <v>-0.96225948266631778</v>
      </c>
      <c r="J13" s="550">
        <v>1.527552</v>
      </c>
      <c r="K13" s="789">
        <f t="shared" si="2"/>
        <v>8.1622151712721092</v>
      </c>
      <c r="L13" s="550">
        <v>24.435525999999999</v>
      </c>
      <c r="M13" s="789">
        <f t="shared" si="3"/>
        <v>14.99652646849338</v>
      </c>
      <c r="N13" s="550">
        <v>24.527324</v>
      </c>
      <c r="O13" s="789">
        <f t="shared" si="4"/>
        <v>3.7567433580107945E-3</v>
      </c>
      <c r="P13" s="550">
        <v>25.526389000000002</v>
      </c>
      <c r="Q13" s="789">
        <f t="shared" si="4"/>
        <v>4.0732735458625768E-2</v>
      </c>
      <c r="R13" s="550">
        <v>28.732804000000002</v>
      </c>
      <c r="S13" s="789">
        <f t="shared" si="5"/>
        <v>0.12561177376087151</v>
      </c>
      <c r="T13" s="55"/>
      <c r="U13" s="55"/>
      <c r="V13" s="136"/>
      <c r="W13" s="55"/>
      <c r="X13" s="55"/>
      <c r="Y13" s="136"/>
      <c r="Z13" s="55"/>
      <c r="AA13" s="55"/>
      <c r="AB13" s="136"/>
      <c r="AC13" s="55"/>
      <c r="AD13" s="55"/>
      <c r="AE13" s="136"/>
      <c r="AF13" s="55"/>
      <c r="AG13" s="55"/>
      <c r="AH13" s="136"/>
      <c r="AI13" s="55"/>
      <c r="AJ13" s="55"/>
      <c r="AK13" s="136"/>
      <c r="AL13" s="55"/>
      <c r="AM13" s="55"/>
      <c r="AN13" s="136"/>
      <c r="AO13" s="55"/>
      <c r="AP13" s="55"/>
      <c r="AQ13" s="136"/>
      <c r="AR13" s="55"/>
      <c r="AS13" s="55"/>
      <c r="AT13" s="136"/>
      <c r="AU13" s="55"/>
      <c r="AV13" s="55"/>
      <c r="AW13" s="136"/>
      <c r="AX13" s="55"/>
      <c r="AY13" s="55"/>
      <c r="AZ13" s="136"/>
      <c r="BA13" s="55"/>
      <c r="BB13" s="55"/>
      <c r="BC13" s="136"/>
      <c r="BD13" s="55"/>
      <c r="BE13" s="55"/>
      <c r="BF13" s="136"/>
      <c r="BG13" s="55"/>
      <c r="BH13" s="55"/>
      <c r="BI13" s="136"/>
      <c r="BJ13" s="55"/>
      <c r="BK13" s="55"/>
      <c r="BL13" s="136"/>
      <c r="BM13" s="55"/>
      <c r="BN13" s="55"/>
    </row>
    <row r="14" spans="1:66" s="21" customFormat="1" ht="16.2" customHeight="1" x14ac:dyDescent="0.4">
      <c r="A14" s="491"/>
      <c r="B14" s="563" t="str">
        <f>BS_Quarterly!B14</f>
        <v>　비유동자산</v>
      </c>
      <c r="C14" s="564"/>
      <c r="D14" s="554" t="str">
        <f>BS_Quarterly!D14</f>
        <v>Non-current assets</v>
      </c>
      <c r="E14" s="549">
        <f>SUM(E15:E24)</f>
        <v>35478.072464000004</v>
      </c>
      <c r="F14" s="549">
        <v>49080.730539000004</v>
      </c>
      <c r="G14" s="788">
        <f t="shared" si="0"/>
        <v>0.38341029064650467</v>
      </c>
      <c r="H14" s="549">
        <v>56010.299410000007</v>
      </c>
      <c r="I14" s="788">
        <f t="shared" si="1"/>
        <v>0.14118715827780326</v>
      </c>
      <c r="J14" s="549">
        <v>54513.727743999996</v>
      </c>
      <c r="K14" s="788">
        <f t="shared" si="2"/>
        <v>-2.6719579823078266E-2</v>
      </c>
      <c r="L14" s="549">
        <v>143239.18471</v>
      </c>
      <c r="M14" s="788">
        <f t="shared" si="3"/>
        <v>1.6275800727233425</v>
      </c>
      <c r="N14" s="549">
        <v>183622.41757199998</v>
      </c>
      <c r="O14" s="788">
        <f t="shared" si="4"/>
        <v>0.28192867017331391</v>
      </c>
      <c r="P14" s="549">
        <v>189705.53868400003</v>
      </c>
      <c r="Q14" s="788">
        <f t="shared" si="4"/>
        <v>3.3128422947676262E-2</v>
      </c>
      <c r="R14" s="549">
        <v>374176.98560800002</v>
      </c>
      <c r="S14" s="788">
        <f t="shared" si="5"/>
        <v>0.97240938880166983</v>
      </c>
      <c r="T14" s="55"/>
      <c r="U14" s="55"/>
      <c r="V14" s="135"/>
      <c r="W14" s="55"/>
      <c r="X14" s="55"/>
      <c r="Y14" s="135"/>
      <c r="Z14" s="55"/>
      <c r="AA14" s="55"/>
      <c r="AB14" s="135"/>
      <c r="AC14" s="55"/>
      <c r="AD14" s="55"/>
      <c r="AE14" s="135"/>
      <c r="AF14" s="55"/>
      <c r="AG14" s="55"/>
      <c r="AH14" s="135"/>
      <c r="AI14" s="55"/>
      <c r="AJ14" s="55"/>
      <c r="AK14" s="135"/>
      <c r="AL14" s="55"/>
      <c r="AM14" s="55"/>
      <c r="AN14" s="135"/>
      <c r="AO14" s="55"/>
      <c r="AP14" s="55"/>
      <c r="AQ14" s="135"/>
      <c r="AR14" s="55"/>
      <c r="AS14" s="55"/>
      <c r="AT14" s="135"/>
      <c r="AU14" s="55"/>
      <c r="AV14" s="55"/>
      <c r="AW14" s="135"/>
      <c r="AX14" s="55"/>
      <c r="AY14" s="55"/>
      <c r="AZ14" s="135"/>
      <c r="BA14" s="55"/>
      <c r="BB14" s="55"/>
      <c r="BC14" s="135"/>
      <c r="BD14" s="55"/>
      <c r="BE14" s="55"/>
      <c r="BF14" s="135"/>
      <c r="BG14" s="55"/>
      <c r="BH14" s="55"/>
      <c r="BI14" s="135"/>
      <c r="BJ14" s="55"/>
      <c r="BK14" s="55"/>
      <c r="BL14" s="135"/>
      <c r="BM14" s="55"/>
      <c r="BN14" s="55"/>
    </row>
    <row r="15" spans="1:66" ht="16.2" customHeight="1" x14ac:dyDescent="0.4">
      <c r="A15" s="491"/>
      <c r="B15" s="565"/>
      <c r="C15" s="566" t="str">
        <f>BS_Quarterly!C15</f>
        <v>장기금융상품</v>
      </c>
      <c r="D15" s="555" t="str">
        <f>BS_Quarterly!D15</f>
        <v>Non-current Financial Assets</v>
      </c>
      <c r="E15" s="550">
        <v>137.96753799999999</v>
      </c>
      <c r="F15" s="550">
        <v>419.30556799999999</v>
      </c>
      <c r="G15" s="789">
        <f t="shared" si="0"/>
        <v>2.0391610525078736</v>
      </c>
      <c r="H15" s="550">
        <v>432.66153600000001</v>
      </c>
      <c r="I15" s="789">
        <f t="shared" si="1"/>
        <v>3.1852589183838376E-2</v>
      </c>
      <c r="J15" s="550">
        <v>275.74344100000002</v>
      </c>
      <c r="K15" s="789">
        <f t="shared" si="2"/>
        <v>-0.36268094559716069</v>
      </c>
      <c r="L15" s="550">
        <v>297.20755800000001</v>
      </c>
      <c r="M15" s="789">
        <f t="shared" si="3"/>
        <v>7.7840897764092087E-2</v>
      </c>
      <c r="N15" s="550">
        <v>331.655306</v>
      </c>
      <c r="O15" s="789">
        <f t="shared" si="4"/>
        <v>0.11590468368910045</v>
      </c>
      <c r="P15" s="550">
        <v>107.422</v>
      </c>
      <c r="Q15" s="789">
        <f t="shared" si="4"/>
        <v>-0.67610347835050166</v>
      </c>
      <c r="R15" s="550">
        <v>107.422</v>
      </c>
      <c r="S15" s="789">
        <f t="shared" si="5"/>
        <v>0</v>
      </c>
      <c r="T15" s="55"/>
      <c r="U15" s="55"/>
      <c r="V15" s="136"/>
      <c r="W15" s="55"/>
      <c r="X15" s="55"/>
      <c r="Y15" s="136"/>
      <c r="Z15" s="55"/>
      <c r="AA15" s="55"/>
      <c r="AB15" s="136"/>
      <c r="AC15" s="55"/>
      <c r="AD15" s="55"/>
      <c r="AE15" s="136"/>
      <c r="AF15" s="55"/>
      <c r="AG15" s="55"/>
      <c r="AH15" s="136"/>
      <c r="AI15" s="55"/>
      <c r="AJ15" s="55"/>
      <c r="AK15" s="136"/>
      <c r="AL15" s="55"/>
      <c r="AM15" s="55"/>
      <c r="AN15" s="136"/>
      <c r="AO15" s="55"/>
      <c r="AP15" s="55"/>
      <c r="AQ15" s="136"/>
      <c r="AR15" s="55"/>
      <c r="AS15" s="55"/>
      <c r="AT15" s="136"/>
      <c r="AU15" s="55"/>
      <c r="AV15" s="55"/>
      <c r="AW15" s="136"/>
      <c r="AX15" s="55"/>
      <c r="AY15" s="55"/>
      <c r="AZ15" s="136"/>
      <c r="BA15" s="55"/>
      <c r="BB15" s="55"/>
      <c r="BC15" s="136"/>
      <c r="BD15" s="55"/>
      <c r="BE15" s="55"/>
      <c r="BF15" s="136"/>
      <c r="BG15" s="55"/>
      <c r="BH15" s="55"/>
      <c r="BI15" s="136"/>
      <c r="BJ15" s="55"/>
      <c r="BK15" s="55"/>
      <c r="BL15" s="136"/>
      <c r="BM15" s="55"/>
      <c r="BN15" s="55"/>
    </row>
    <row r="16" spans="1:66" ht="16.2" customHeight="1" x14ac:dyDescent="0.4">
      <c r="A16" s="491"/>
      <c r="B16" s="565"/>
      <c r="C16" s="566" t="str">
        <f>BS_Quarterly!C16</f>
        <v>관계기업투자</v>
      </c>
      <c r="D16" s="555" t="str">
        <f>BS_Quarterly!D16</f>
        <v>Investments in Affiliates</v>
      </c>
      <c r="E16" s="550"/>
      <c r="F16" s="550">
        <v>0</v>
      </c>
      <c r="G16" s="789"/>
      <c r="H16" s="550">
        <v>0</v>
      </c>
      <c r="I16" s="789"/>
      <c r="J16" s="550">
        <v>0</v>
      </c>
      <c r="K16" s="789"/>
      <c r="L16" s="550">
        <v>0</v>
      </c>
      <c r="M16" s="789">
        <f t="shared" si="3"/>
        <v>0</v>
      </c>
      <c r="N16" s="550">
        <v>0</v>
      </c>
      <c r="O16" s="789">
        <f t="shared" si="4"/>
        <v>0</v>
      </c>
      <c r="P16" s="550">
        <v>0</v>
      </c>
      <c r="Q16" s="789">
        <f t="shared" si="4"/>
        <v>0</v>
      </c>
      <c r="R16" s="550">
        <v>0</v>
      </c>
      <c r="S16" s="789">
        <f t="shared" si="5"/>
        <v>0</v>
      </c>
      <c r="T16" s="55"/>
      <c r="U16" s="55"/>
      <c r="V16" s="136"/>
      <c r="W16" s="55"/>
      <c r="X16" s="55"/>
      <c r="Y16" s="136"/>
      <c r="Z16" s="55"/>
      <c r="AA16" s="55"/>
      <c r="AB16" s="136"/>
      <c r="AC16" s="55"/>
      <c r="AD16" s="55"/>
      <c r="AE16" s="136"/>
      <c r="AF16" s="55"/>
      <c r="AG16" s="55"/>
      <c r="AH16" s="136"/>
      <c r="AI16" s="55"/>
      <c r="AJ16" s="55"/>
      <c r="AK16" s="136"/>
      <c r="AL16" s="55"/>
      <c r="AM16" s="55"/>
      <c r="AN16" s="136"/>
      <c r="AO16" s="55"/>
      <c r="AP16" s="55"/>
      <c r="AQ16" s="136"/>
      <c r="AR16" s="55"/>
      <c r="AS16" s="55"/>
      <c r="AT16" s="136"/>
      <c r="AU16" s="55"/>
      <c r="AV16" s="55"/>
      <c r="AW16" s="136"/>
      <c r="AX16" s="55"/>
      <c r="AY16" s="55"/>
      <c r="AZ16" s="136"/>
      <c r="BA16" s="55"/>
      <c r="BB16" s="55"/>
      <c r="BC16" s="136"/>
      <c r="BD16" s="55"/>
      <c r="BE16" s="55"/>
      <c r="BF16" s="136"/>
      <c r="BG16" s="55"/>
      <c r="BH16" s="55"/>
      <c r="BI16" s="136"/>
      <c r="BJ16" s="55"/>
      <c r="BK16" s="55"/>
      <c r="BL16" s="136"/>
      <c r="BM16" s="55"/>
      <c r="BN16" s="55"/>
    </row>
    <row r="17" spans="1:66" ht="16.2" customHeight="1" x14ac:dyDescent="0.4">
      <c r="A17" s="491"/>
      <c r="B17" s="565"/>
      <c r="C17" s="566" t="str">
        <f>BS_Quarterly!C17</f>
        <v>파생상품자산</v>
      </c>
      <c r="D17" s="555" t="str">
        <f>BS_Quarterly!D17</f>
        <v>Non-Current Derivative Assets</v>
      </c>
      <c r="E17" s="550"/>
      <c r="F17" s="550">
        <v>0</v>
      </c>
      <c r="G17" s="789"/>
      <c r="H17" s="550">
        <v>0</v>
      </c>
      <c r="I17" s="789"/>
      <c r="J17" s="550">
        <v>0</v>
      </c>
      <c r="K17" s="789"/>
      <c r="L17" s="550">
        <v>0</v>
      </c>
      <c r="M17" s="789">
        <f t="shared" si="3"/>
        <v>0</v>
      </c>
      <c r="N17" s="550">
        <v>0</v>
      </c>
      <c r="O17" s="789">
        <f t="shared" si="4"/>
        <v>0</v>
      </c>
      <c r="P17" s="550">
        <v>0</v>
      </c>
      <c r="Q17" s="789">
        <f t="shared" si="4"/>
        <v>0</v>
      </c>
      <c r="R17" s="550">
        <v>0</v>
      </c>
      <c r="S17" s="789">
        <f t="shared" si="5"/>
        <v>0</v>
      </c>
      <c r="T17" s="55"/>
      <c r="U17" s="55"/>
      <c r="V17" s="136"/>
      <c r="W17" s="55"/>
      <c r="X17" s="55"/>
      <c r="Y17" s="136"/>
      <c r="Z17" s="55"/>
      <c r="AA17" s="55"/>
      <c r="AB17" s="136"/>
      <c r="AC17" s="55"/>
      <c r="AD17" s="55"/>
      <c r="AE17" s="136"/>
      <c r="AF17" s="55"/>
      <c r="AG17" s="55"/>
      <c r="AH17" s="136"/>
      <c r="AI17" s="55"/>
      <c r="AJ17" s="55"/>
      <c r="AK17" s="136"/>
      <c r="AL17" s="55"/>
      <c r="AM17" s="55"/>
      <c r="AN17" s="136"/>
      <c r="AO17" s="55"/>
      <c r="AP17" s="55"/>
      <c r="AQ17" s="136"/>
      <c r="AR17" s="55"/>
      <c r="AS17" s="55"/>
      <c r="AT17" s="136"/>
      <c r="AU17" s="55"/>
      <c r="AV17" s="55"/>
      <c r="AW17" s="136"/>
      <c r="AX17" s="55"/>
      <c r="AY17" s="55"/>
      <c r="AZ17" s="136"/>
      <c r="BA17" s="55"/>
      <c r="BB17" s="55"/>
      <c r="BC17" s="136"/>
      <c r="BD17" s="55"/>
      <c r="BE17" s="55"/>
      <c r="BF17" s="136"/>
      <c r="BG17" s="55"/>
      <c r="BH17" s="55"/>
      <c r="BI17" s="136"/>
      <c r="BJ17" s="55"/>
      <c r="BK17" s="55"/>
      <c r="BL17" s="136"/>
      <c r="BM17" s="55"/>
      <c r="BN17" s="55"/>
    </row>
    <row r="18" spans="1:66" ht="16.2" customHeight="1" x14ac:dyDescent="0.4">
      <c r="A18" s="491"/>
      <c r="B18" s="565"/>
      <c r="C18" s="566" t="str">
        <f>BS_Quarterly!C18</f>
        <v>당기손익-공정가치측정금융자산(비유동)</v>
      </c>
      <c r="D18" s="555" t="str">
        <f>BS_Quarterly!D18</f>
        <v xml:space="preserve">Fair Value Through Profit or Loss </v>
      </c>
      <c r="E18" s="550" t="s">
        <v>126</v>
      </c>
      <c r="F18" s="550">
        <v>0</v>
      </c>
      <c r="G18" s="789">
        <f t="shared" ref="G18:G32" si="13">IFERROR(F18/E18-1,0)</f>
        <v>0</v>
      </c>
      <c r="H18" s="550">
        <v>0</v>
      </c>
      <c r="I18" s="789">
        <f t="shared" si="1"/>
        <v>0</v>
      </c>
      <c r="J18" s="550">
        <v>0</v>
      </c>
      <c r="K18" s="789">
        <f t="shared" si="2"/>
        <v>0</v>
      </c>
      <c r="L18" s="550">
        <v>0</v>
      </c>
      <c r="M18" s="789">
        <f t="shared" si="3"/>
        <v>0</v>
      </c>
      <c r="N18" s="550">
        <v>0</v>
      </c>
      <c r="O18" s="789">
        <f t="shared" si="4"/>
        <v>0</v>
      </c>
      <c r="P18" s="550">
        <v>2999.9585670000001</v>
      </c>
      <c r="Q18" s="789">
        <f t="shared" si="4"/>
        <v>0</v>
      </c>
      <c r="R18" s="550">
        <v>9124.3066610000005</v>
      </c>
      <c r="S18" s="789">
        <f t="shared" si="5"/>
        <v>2.0414775595132411</v>
      </c>
      <c r="T18" s="55"/>
      <c r="U18" s="55"/>
      <c r="V18" s="136"/>
      <c r="W18" s="55"/>
      <c r="X18" s="55"/>
      <c r="Y18" s="136"/>
      <c r="Z18" s="55"/>
      <c r="AA18" s="55"/>
      <c r="AB18" s="136"/>
      <c r="AC18" s="55"/>
      <c r="AD18" s="55"/>
      <c r="AE18" s="136"/>
      <c r="AF18" s="55"/>
      <c r="AG18" s="55"/>
      <c r="AH18" s="136"/>
      <c r="AI18" s="55"/>
      <c r="AJ18" s="55"/>
      <c r="AK18" s="136"/>
      <c r="AL18" s="55"/>
      <c r="AM18" s="55"/>
      <c r="AN18" s="136"/>
      <c r="AO18" s="55"/>
      <c r="AP18" s="55"/>
      <c r="AQ18" s="136"/>
      <c r="AR18" s="55"/>
      <c r="AS18" s="55"/>
      <c r="AT18" s="136"/>
      <c r="AU18" s="55"/>
      <c r="AV18" s="55"/>
      <c r="AW18" s="136"/>
      <c r="AX18" s="55"/>
      <c r="AY18" s="55"/>
      <c r="AZ18" s="136"/>
      <c r="BA18" s="55"/>
      <c r="BB18" s="55"/>
      <c r="BC18" s="136"/>
      <c r="BD18" s="55"/>
      <c r="BE18" s="55"/>
      <c r="BF18" s="136"/>
      <c r="BG18" s="55"/>
      <c r="BH18" s="55"/>
      <c r="BI18" s="136"/>
      <c r="BJ18" s="55"/>
      <c r="BK18" s="55"/>
      <c r="BL18" s="136"/>
      <c r="BM18" s="55"/>
      <c r="BN18" s="55"/>
    </row>
    <row r="19" spans="1:66" ht="16.2" customHeight="1" x14ac:dyDescent="0.4">
      <c r="A19" s="491"/>
      <c r="B19" s="565"/>
      <c r="C19" s="566" t="str">
        <f>BS_Quarterly!C19</f>
        <v>유형자산</v>
      </c>
      <c r="D19" s="555" t="str">
        <f>BS_Quarterly!D19</f>
        <v>Property, Plant and Equipment</v>
      </c>
      <c r="E19" s="550">
        <v>32042.413994999999</v>
      </c>
      <c r="F19" s="550">
        <v>46055.749744000001</v>
      </c>
      <c r="G19" s="789">
        <f t="shared" si="13"/>
        <v>0.43733707925959275</v>
      </c>
      <c r="H19" s="550">
        <v>51077.691415000001</v>
      </c>
      <c r="I19" s="789">
        <f t="shared" si="1"/>
        <v>0.10904049329159471</v>
      </c>
      <c r="J19" s="550">
        <v>50098.618892999999</v>
      </c>
      <c r="K19" s="789">
        <f t="shared" si="2"/>
        <v>-1.9168300188925125E-2</v>
      </c>
      <c r="L19" s="550">
        <v>80704.632922999997</v>
      </c>
      <c r="M19" s="789">
        <f t="shared" si="3"/>
        <v>0.61091532473914967</v>
      </c>
      <c r="N19" s="550">
        <v>104241.59458999999</v>
      </c>
      <c r="O19" s="789">
        <f t="shared" si="4"/>
        <v>0.29164325286574977</v>
      </c>
      <c r="P19" s="550">
        <v>138988.714882</v>
      </c>
      <c r="Q19" s="789">
        <f t="shared" si="4"/>
        <v>0.33333258598610627</v>
      </c>
      <c r="R19" s="550">
        <v>193172.861473</v>
      </c>
      <c r="S19" s="789">
        <f t="shared" si="5"/>
        <v>0.38984565500157187</v>
      </c>
      <c r="T19" s="55"/>
      <c r="U19" s="55"/>
      <c r="V19" s="136"/>
      <c r="W19" s="55"/>
      <c r="X19" s="55"/>
      <c r="Y19" s="136"/>
      <c r="Z19" s="55"/>
      <c r="AA19" s="55"/>
      <c r="AB19" s="136"/>
      <c r="AC19" s="55"/>
      <c r="AD19" s="55"/>
      <c r="AE19" s="136"/>
      <c r="AF19" s="55"/>
      <c r="AG19" s="55"/>
      <c r="AH19" s="136"/>
      <c r="AI19" s="55"/>
      <c r="AJ19" s="55"/>
      <c r="AK19" s="136"/>
      <c r="AL19" s="55"/>
      <c r="AM19" s="55"/>
      <c r="AN19" s="136"/>
      <c r="AO19" s="55"/>
      <c r="AP19" s="55"/>
      <c r="AQ19" s="136"/>
      <c r="AR19" s="55"/>
      <c r="AS19" s="55"/>
      <c r="AT19" s="136"/>
      <c r="AU19" s="55"/>
      <c r="AV19" s="55"/>
      <c r="AW19" s="136"/>
      <c r="AX19" s="55"/>
      <c r="AY19" s="55"/>
      <c r="AZ19" s="136"/>
      <c r="BA19" s="55"/>
      <c r="BB19" s="55"/>
      <c r="BC19" s="136"/>
      <c r="BD19" s="55"/>
      <c r="BE19" s="55"/>
      <c r="BF19" s="136"/>
      <c r="BG19" s="55"/>
      <c r="BH19" s="55"/>
      <c r="BI19" s="136"/>
      <c r="BJ19" s="55"/>
      <c r="BK19" s="55"/>
      <c r="BL19" s="136"/>
      <c r="BM19" s="55"/>
      <c r="BN19" s="55"/>
    </row>
    <row r="20" spans="1:66" ht="16.2" customHeight="1" x14ac:dyDescent="0.4">
      <c r="A20" s="491"/>
      <c r="B20" s="565"/>
      <c r="C20" s="566" t="str">
        <f>BS_Quarterly!C20</f>
        <v>무형자산</v>
      </c>
      <c r="D20" s="555" t="str">
        <f>BS_Quarterly!D20</f>
        <v>Intangible Assets</v>
      </c>
      <c r="E20" s="550">
        <v>97.373261999999997</v>
      </c>
      <c r="F20" s="550">
        <v>152.95273399999999</v>
      </c>
      <c r="G20" s="789">
        <f t="shared" si="13"/>
        <v>0.57078782058261535</v>
      </c>
      <c r="H20" s="550">
        <v>710.67403300000001</v>
      </c>
      <c r="I20" s="789">
        <f t="shared" si="1"/>
        <v>3.6463637125963375</v>
      </c>
      <c r="J20" s="550">
        <v>821.86246900000003</v>
      </c>
      <c r="K20" s="789">
        <f t="shared" si="2"/>
        <v>0.15645490173692611</v>
      </c>
      <c r="L20" s="550">
        <v>1123.998104</v>
      </c>
      <c r="M20" s="789">
        <f t="shared" si="3"/>
        <v>0.3676231077538108</v>
      </c>
      <c r="N20" s="550">
        <v>1478.3695740000001</v>
      </c>
      <c r="O20" s="789">
        <f t="shared" si="4"/>
        <v>0.31527764036157135</v>
      </c>
      <c r="P20" s="550">
        <v>2822.2968580000002</v>
      </c>
      <c r="Q20" s="789">
        <f t="shared" si="4"/>
        <v>0.90906043227320921</v>
      </c>
      <c r="R20" s="550">
        <v>140947.98448300001</v>
      </c>
      <c r="S20" s="789">
        <f t="shared" si="5"/>
        <v>48.940878502370495</v>
      </c>
      <c r="T20" s="55"/>
      <c r="U20" s="55"/>
      <c r="V20" s="136"/>
      <c r="W20" s="55"/>
      <c r="X20" s="55"/>
      <c r="Y20" s="136"/>
      <c r="Z20" s="55"/>
      <c r="AA20" s="55"/>
      <c r="AB20" s="136"/>
      <c r="AC20" s="55"/>
      <c r="AD20" s="55"/>
      <c r="AE20" s="136"/>
      <c r="AF20" s="55"/>
      <c r="AG20" s="55"/>
      <c r="AH20" s="136"/>
      <c r="AI20" s="55"/>
      <c r="AJ20" s="55"/>
      <c r="AK20" s="136"/>
      <c r="AL20" s="55"/>
      <c r="AM20" s="55"/>
      <c r="AN20" s="136"/>
      <c r="AO20" s="55"/>
      <c r="AP20" s="55"/>
      <c r="AQ20" s="136"/>
      <c r="AR20" s="55"/>
      <c r="AS20" s="55"/>
      <c r="AT20" s="136"/>
      <c r="AU20" s="55"/>
      <c r="AV20" s="55"/>
      <c r="AW20" s="136"/>
      <c r="AX20" s="55"/>
      <c r="AY20" s="55"/>
      <c r="AZ20" s="136"/>
      <c r="BA20" s="55"/>
      <c r="BB20" s="55"/>
      <c r="BC20" s="136"/>
      <c r="BD20" s="55"/>
      <c r="BE20" s="55"/>
      <c r="BF20" s="136"/>
      <c r="BG20" s="55"/>
      <c r="BH20" s="55"/>
      <c r="BI20" s="136"/>
      <c r="BJ20" s="55"/>
      <c r="BK20" s="55"/>
      <c r="BL20" s="136"/>
      <c r="BM20" s="55"/>
      <c r="BN20" s="55"/>
    </row>
    <row r="21" spans="1:66" ht="16.2" customHeight="1" x14ac:dyDescent="0.4">
      <c r="A21" s="491"/>
      <c r="B21" s="565"/>
      <c r="C21" s="566" t="str">
        <f>BS_Quarterly!C21</f>
        <v>투자부동산</v>
      </c>
      <c r="D21" s="555" t="str">
        <f>BS_Quarterly!D21</f>
        <v>Investment Property</v>
      </c>
      <c r="E21" s="550">
        <v>0</v>
      </c>
      <c r="F21" s="550" t="s">
        <v>126</v>
      </c>
      <c r="G21" s="789">
        <f t="shared" si="13"/>
        <v>0</v>
      </c>
      <c r="H21" s="550" t="s">
        <v>126</v>
      </c>
      <c r="I21" s="789">
        <f t="shared" si="1"/>
        <v>0</v>
      </c>
      <c r="J21" s="550">
        <v>0</v>
      </c>
      <c r="K21" s="789">
        <f t="shared" si="2"/>
        <v>0</v>
      </c>
      <c r="L21" s="550">
        <v>58418.164117</v>
      </c>
      <c r="M21" s="789">
        <f t="shared" si="3"/>
        <v>0</v>
      </c>
      <c r="N21" s="550">
        <v>74654.142443999997</v>
      </c>
      <c r="O21" s="789">
        <f t="shared" si="4"/>
        <v>0.27792688408493205</v>
      </c>
      <c r="P21" s="550">
        <v>41087.737051999997</v>
      </c>
      <c r="Q21" s="789">
        <f t="shared" si="4"/>
        <v>-0.44962549020208797</v>
      </c>
      <c r="R21" s="550">
        <v>29444.614818999999</v>
      </c>
      <c r="S21" s="789">
        <f t="shared" si="5"/>
        <v>-0.28337219492678911</v>
      </c>
      <c r="T21" s="55"/>
      <c r="U21" s="55"/>
      <c r="V21" s="136"/>
      <c r="W21" s="55"/>
      <c r="X21" s="55"/>
      <c r="Y21" s="136"/>
      <c r="Z21" s="55"/>
      <c r="AA21" s="55"/>
      <c r="AB21" s="136"/>
      <c r="AC21" s="55"/>
      <c r="AD21" s="55"/>
      <c r="AE21" s="136"/>
      <c r="AF21" s="55"/>
      <c r="AG21" s="55"/>
      <c r="AH21" s="136"/>
      <c r="AI21" s="55"/>
      <c r="AJ21" s="55"/>
      <c r="AK21" s="136"/>
      <c r="AL21" s="55"/>
      <c r="AM21" s="55"/>
      <c r="AN21" s="136"/>
      <c r="AO21" s="55"/>
      <c r="AP21" s="55"/>
      <c r="AQ21" s="136"/>
      <c r="AR21" s="55"/>
      <c r="AS21" s="55"/>
      <c r="AT21" s="136"/>
      <c r="AU21" s="55"/>
      <c r="AV21" s="55"/>
      <c r="AW21" s="136"/>
      <c r="AX21" s="55"/>
      <c r="AY21" s="55"/>
      <c r="AZ21" s="136"/>
      <c r="BA21" s="55"/>
      <c r="BB21" s="55"/>
      <c r="BC21" s="136"/>
      <c r="BD21" s="55"/>
      <c r="BE21" s="55"/>
      <c r="BF21" s="136"/>
      <c r="BG21" s="55"/>
      <c r="BH21" s="55"/>
      <c r="BI21" s="136"/>
      <c r="BJ21" s="55"/>
      <c r="BK21" s="55"/>
      <c r="BL21" s="136"/>
      <c r="BM21" s="55"/>
      <c r="BN21" s="55"/>
    </row>
    <row r="22" spans="1:66" ht="16.2" customHeight="1" x14ac:dyDescent="0.4">
      <c r="A22" s="491"/>
      <c r="B22" s="565"/>
      <c r="C22" s="566" t="str">
        <f>BS_Quarterly!C22</f>
        <v>장기기타채권</v>
      </c>
      <c r="D22" s="555" t="str">
        <f>BS_Quarterly!D22</f>
        <v>Other Non-current Assets</v>
      </c>
      <c r="E22" s="550">
        <v>2722.04</v>
      </c>
      <c r="F22" s="550">
        <v>2067.170936</v>
      </c>
      <c r="G22" s="789">
        <f t="shared" si="13"/>
        <v>-0.24058025010653772</v>
      </c>
      <c r="H22" s="550">
        <v>2926.1996300000001</v>
      </c>
      <c r="I22" s="789">
        <f t="shared" si="1"/>
        <v>0.41555764888134061</v>
      </c>
      <c r="J22" s="550">
        <v>1846.88456</v>
      </c>
      <c r="K22" s="789">
        <f t="shared" si="2"/>
        <v>-0.36884533062428149</v>
      </c>
      <c r="L22" s="550">
        <v>1894.43886</v>
      </c>
      <c r="M22" s="789">
        <f t="shared" si="3"/>
        <v>2.5748387868920197E-2</v>
      </c>
      <c r="N22" s="550">
        <v>1038.0038400000001</v>
      </c>
      <c r="O22" s="789">
        <f t="shared" si="4"/>
        <v>-0.45207846929406836</v>
      </c>
      <c r="P22" s="550">
        <v>1100.2748799999999</v>
      </c>
      <c r="Q22" s="789">
        <f t="shared" si="4"/>
        <v>5.999114608285061E-2</v>
      </c>
      <c r="R22" s="550">
        <v>606.68639700000006</v>
      </c>
      <c r="S22" s="789">
        <f t="shared" si="5"/>
        <v>-0.44860470049084455</v>
      </c>
      <c r="T22" s="55"/>
      <c r="U22" s="55"/>
      <c r="V22" s="136"/>
      <c r="W22" s="55"/>
      <c r="X22" s="55"/>
      <c r="Y22" s="136"/>
      <c r="Z22" s="55"/>
      <c r="AA22" s="55"/>
      <c r="AB22" s="136"/>
      <c r="AC22" s="55"/>
      <c r="AD22" s="55"/>
      <c r="AE22" s="136"/>
      <c r="AF22" s="55"/>
      <c r="AG22" s="55"/>
      <c r="AH22" s="136"/>
      <c r="AI22" s="55"/>
      <c r="AJ22" s="55"/>
      <c r="AK22" s="136"/>
      <c r="AL22" s="55"/>
      <c r="AM22" s="55"/>
      <c r="AN22" s="136"/>
      <c r="AO22" s="55"/>
      <c r="AP22" s="55"/>
      <c r="AQ22" s="136"/>
      <c r="AR22" s="55"/>
      <c r="AS22" s="55"/>
      <c r="AT22" s="136"/>
      <c r="AU22" s="55"/>
      <c r="AV22" s="55"/>
      <c r="AW22" s="136"/>
      <c r="AX22" s="55"/>
      <c r="AY22" s="55"/>
      <c r="AZ22" s="136"/>
      <c r="BA22" s="55"/>
      <c r="BB22" s="55"/>
      <c r="BC22" s="136"/>
      <c r="BD22" s="55"/>
      <c r="BE22" s="55"/>
      <c r="BF22" s="136"/>
      <c r="BG22" s="55"/>
      <c r="BH22" s="55"/>
      <c r="BI22" s="136"/>
      <c r="BJ22" s="55"/>
      <c r="BK22" s="55"/>
      <c r="BL22" s="136"/>
      <c r="BM22" s="55"/>
      <c r="BN22" s="55"/>
    </row>
    <row r="23" spans="1:66" ht="16.2" customHeight="1" x14ac:dyDescent="0.4">
      <c r="A23" s="491"/>
      <c r="B23" s="565"/>
      <c r="C23" s="566" t="str">
        <f>BS_Quarterly!C23</f>
        <v>사용권자산</v>
      </c>
      <c r="D23" s="555" t="str">
        <f>BS_Quarterly!D23</f>
        <v>Right-of-Use Assets</v>
      </c>
      <c r="E23" s="550">
        <v>0</v>
      </c>
      <c r="F23" s="550" t="s">
        <v>126</v>
      </c>
      <c r="G23" s="789">
        <f t="shared" si="13"/>
        <v>0</v>
      </c>
      <c r="H23" s="550">
        <v>251.34474399999999</v>
      </c>
      <c r="I23" s="789">
        <f t="shared" si="1"/>
        <v>0</v>
      </c>
      <c r="J23" s="550">
        <v>384.94548200000003</v>
      </c>
      <c r="K23" s="789">
        <f t="shared" si="2"/>
        <v>0.53154379070683899</v>
      </c>
      <c r="L23" s="550">
        <v>800.74314800000002</v>
      </c>
      <c r="M23" s="789">
        <f t="shared" si="3"/>
        <v>1.0801468920734076</v>
      </c>
      <c r="N23" s="550">
        <v>1090.6440809999999</v>
      </c>
      <c r="O23" s="789">
        <f t="shared" si="4"/>
        <v>0.36203985475752076</v>
      </c>
      <c r="P23" s="550">
        <v>1217.303762</v>
      </c>
      <c r="Q23" s="789">
        <f t="shared" si="4"/>
        <v>0.11613291925984437</v>
      </c>
      <c r="R23" s="550">
        <v>773.10977500000001</v>
      </c>
      <c r="S23" s="789">
        <f t="shared" si="5"/>
        <v>-0.36489987205017771</v>
      </c>
      <c r="T23" s="55"/>
      <c r="U23" s="55"/>
      <c r="V23" s="136"/>
      <c r="W23" s="55"/>
      <c r="X23" s="55"/>
      <c r="Y23" s="136"/>
      <c r="Z23" s="55"/>
      <c r="AA23" s="55"/>
      <c r="AB23" s="136"/>
      <c r="AC23" s="55"/>
      <c r="AD23" s="55"/>
      <c r="AE23" s="136"/>
      <c r="AF23" s="55"/>
      <c r="AG23" s="55"/>
      <c r="AH23" s="136"/>
      <c r="AI23" s="55"/>
      <c r="AJ23" s="55"/>
      <c r="AK23" s="136"/>
      <c r="AL23" s="55"/>
      <c r="AM23" s="55"/>
      <c r="AN23" s="136"/>
      <c r="AO23" s="55"/>
      <c r="AP23" s="55"/>
      <c r="AQ23" s="136"/>
      <c r="AR23" s="55"/>
      <c r="AS23" s="55"/>
      <c r="AT23" s="136"/>
      <c r="AU23" s="55"/>
      <c r="AV23" s="55"/>
      <c r="AW23" s="136"/>
      <c r="AX23" s="55"/>
      <c r="AY23" s="55"/>
      <c r="AZ23" s="136"/>
      <c r="BA23" s="55"/>
      <c r="BB23" s="55"/>
      <c r="BC23" s="136"/>
      <c r="BD23" s="55"/>
      <c r="BE23" s="55"/>
      <c r="BF23" s="136"/>
      <c r="BG23" s="55"/>
      <c r="BH23" s="55"/>
      <c r="BI23" s="136"/>
      <c r="BJ23" s="55"/>
      <c r="BK23" s="55"/>
      <c r="BL23" s="136"/>
      <c r="BM23" s="55"/>
      <c r="BN23" s="55"/>
    </row>
    <row r="24" spans="1:66" ht="16.2" customHeight="1" x14ac:dyDescent="0.4">
      <c r="A24" s="491"/>
      <c r="B24" s="565"/>
      <c r="C24" s="566" t="str">
        <f>BS_Quarterly!C24</f>
        <v>이연법인세자산</v>
      </c>
      <c r="D24" s="555" t="str">
        <f>BS_Quarterly!D24</f>
        <v xml:space="preserve">Deferred Income Tax Assets </v>
      </c>
      <c r="E24" s="550">
        <v>478.277669</v>
      </c>
      <c r="F24" s="550">
        <v>385.551557</v>
      </c>
      <c r="G24" s="789">
        <f t="shared" si="13"/>
        <v>-0.1938750604724554</v>
      </c>
      <c r="H24" s="550">
        <v>611.72805200000005</v>
      </c>
      <c r="I24" s="789">
        <f t="shared" si="1"/>
        <v>0.58663099887312886</v>
      </c>
      <c r="J24" s="550">
        <v>1085.6728989999999</v>
      </c>
      <c r="K24" s="789">
        <f t="shared" si="2"/>
        <v>0.77476395834794887</v>
      </c>
      <c r="L24" s="550">
        <v>0</v>
      </c>
      <c r="M24" s="789">
        <f t="shared" si="3"/>
        <v>-1</v>
      </c>
      <c r="N24" s="550">
        <v>788.00773700000002</v>
      </c>
      <c r="O24" s="789">
        <f t="shared" si="4"/>
        <v>0</v>
      </c>
      <c r="P24" s="550">
        <v>1381.8306829999999</v>
      </c>
      <c r="Q24" s="789">
        <f t="shared" si="4"/>
        <v>0.75357501978435515</v>
      </c>
      <c r="R24" s="550">
        <v>0</v>
      </c>
      <c r="S24" s="789">
        <f t="shared" si="5"/>
        <v>-1</v>
      </c>
      <c r="T24" s="55"/>
      <c r="U24" s="55"/>
      <c r="V24" s="136"/>
      <c r="W24" s="55"/>
      <c r="X24" s="55"/>
      <c r="Y24" s="136"/>
      <c r="Z24" s="55"/>
      <c r="AA24" s="55"/>
      <c r="AB24" s="136"/>
      <c r="AC24" s="55"/>
      <c r="AD24" s="55"/>
      <c r="AE24" s="136"/>
      <c r="AF24" s="55"/>
      <c r="AG24" s="55"/>
      <c r="AH24" s="136"/>
      <c r="AI24" s="55"/>
      <c r="AJ24" s="55"/>
      <c r="AK24" s="136"/>
      <c r="AL24" s="55"/>
      <c r="AM24" s="55"/>
      <c r="AN24" s="136"/>
      <c r="AO24" s="55"/>
      <c r="AP24" s="55"/>
      <c r="AQ24" s="136"/>
      <c r="AR24" s="55"/>
      <c r="AS24" s="55"/>
      <c r="AT24" s="136"/>
      <c r="AU24" s="55"/>
      <c r="AV24" s="55"/>
      <c r="AW24" s="136"/>
      <c r="AX24" s="55"/>
      <c r="AY24" s="55"/>
      <c r="AZ24" s="136"/>
      <c r="BA24" s="55"/>
      <c r="BB24" s="55"/>
      <c r="BC24" s="136"/>
      <c r="BD24" s="55"/>
      <c r="BE24" s="55"/>
      <c r="BF24" s="136"/>
      <c r="BG24" s="55"/>
      <c r="BH24" s="55"/>
      <c r="BI24" s="136"/>
      <c r="BJ24" s="55"/>
      <c r="BK24" s="55"/>
      <c r="BL24" s="136"/>
      <c r="BM24" s="55"/>
      <c r="BN24" s="55"/>
    </row>
    <row r="25" spans="1:66" s="21" customFormat="1" ht="16.2" customHeight="1" x14ac:dyDescent="0.4">
      <c r="A25" s="491"/>
      <c r="B25" s="561" t="str">
        <f>BS_Quarterly!B25</f>
        <v>부채</v>
      </c>
      <c r="C25" s="562"/>
      <c r="D25" s="553" t="str">
        <f>BS_Quarterly!D25</f>
        <v>Total Liabilities</v>
      </c>
      <c r="E25" s="548">
        <f>E26+E37</f>
        <v>28069.163031999997</v>
      </c>
      <c r="F25" s="548">
        <v>24634.180260000001</v>
      </c>
      <c r="G25" s="787">
        <f t="shared" si="13"/>
        <v>-0.12237567497413349</v>
      </c>
      <c r="H25" s="548">
        <v>25740.865728999997</v>
      </c>
      <c r="I25" s="787">
        <f t="shared" si="1"/>
        <v>4.4924793815728892E-2</v>
      </c>
      <c r="J25" s="548">
        <v>13769.236723</v>
      </c>
      <c r="K25" s="787">
        <f t="shared" si="2"/>
        <v>-0.46508260957643721</v>
      </c>
      <c r="L25" s="548">
        <v>52634.773983999999</v>
      </c>
      <c r="M25" s="787">
        <f t="shared" si="3"/>
        <v>2.8226355638202794</v>
      </c>
      <c r="N25" s="548">
        <v>101857.251139</v>
      </c>
      <c r="O25" s="787">
        <f t="shared" si="4"/>
        <v>0.93517029578131616</v>
      </c>
      <c r="P25" s="548">
        <v>91942.522090999992</v>
      </c>
      <c r="Q25" s="787">
        <f t="shared" si="4"/>
        <v>-9.7339452391757786E-2</v>
      </c>
      <c r="R25" s="548">
        <v>155734.894073</v>
      </c>
      <c r="S25" s="787">
        <f t="shared" si="5"/>
        <v>0.69382882404358659</v>
      </c>
      <c r="T25" s="55"/>
      <c r="U25" s="55"/>
      <c r="V25" s="135"/>
      <c r="W25" s="55"/>
      <c r="X25" s="55"/>
      <c r="Y25" s="135"/>
      <c r="Z25" s="55"/>
      <c r="AA25" s="55"/>
      <c r="AB25" s="135"/>
      <c r="AC25" s="55"/>
      <c r="AD25" s="55"/>
      <c r="AE25" s="135"/>
      <c r="AF25" s="55"/>
      <c r="AG25" s="55"/>
      <c r="AH25" s="135"/>
      <c r="AI25" s="55"/>
      <c r="AJ25" s="55"/>
      <c r="AK25" s="135"/>
      <c r="AL25" s="55"/>
      <c r="AM25" s="55"/>
      <c r="AN25" s="135"/>
      <c r="AO25" s="55"/>
      <c r="AP25" s="55"/>
      <c r="AQ25" s="135"/>
      <c r="AR25" s="55"/>
      <c r="AS25" s="55"/>
      <c r="AT25" s="135"/>
      <c r="AU25" s="55"/>
      <c r="AV25" s="55"/>
      <c r="AW25" s="135"/>
      <c r="AX25" s="55"/>
      <c r="AY25" s="55"/>
      <c r="AZ25" s="135"/>
      <c r="BA25" s="55"/>
      <c r="BB25" s="55"/>
      <c r="BC25" s="135"/>
      <c r="BD25" s="55"/>
      <c r="BE25" s="55"/>
      <c r="BF25" s="135"/>
      <c r="BG25" s="55"/>
      <c r="BH25" s="55"/>
      <c r="BI25" s="135"/>
      <c r="BJ25" s="55"/>
      <c r="BK25" s="55"/>
      <c r="BL25" s="135"/>
      <c r="BM25" s="55"/>
      <c r="BN25" s="55"/>
    </row>
    <row r="26" spans="1:66" s="21" customFormat="1" ht="16.2" customHeight="1" x14ac:dyDescent="0.4">
      <c r="A26" s="758"/>
      <c r="B26" s="563" t="str">
        <f>BS_Quarterly!B26</f>
        <v>　유동부채</v>
      </c>
      <c r="C26" s="564"/>
      <c r="D26" s="554" t="str">
        <f>BS_Quarterly!D26</f>
        <v>Current Liabilities</v>
      </c>
      <c r="E26" s="549">
        <f>SUM(E27:E35)</f>
        <v>14413.164370999999</v>
      </c>
      <c r="F26" s="549">
        <v>14824.976246999999</v>
      </c>
      <c r="G26" s="788">
        <f t="shared" si="13"/>
        <v>2.8571926705323936E-2</v>
      </c>
      <c r="H26" s="549">
        <v>25487.018111999998</v>
      </c>
      <c r="I26" s="788">
        <f t="shared" si="1"/>
        <v>0.71919453275060619</v>
      </c>
      <c r="J26" s="549">
        <v>13449.682548999999</v>
      </c>
      <c r="K26" s="788">
        <f t="shared" si="2"/>
        <v>-0.47229281629193354</v>
      </c>
      <c r="L26" s="549">
        <v>16793.038427</v>
      </c>
      <c r="M26" s="788">
        <f t="shared" si="3"/>
        <v>0.24858251232469297</v>
      </c>
      <c r="N26" s="549">
        <v>36225.225301999999</v>
      </c>
      <c r="O26" s="788">
        <f t="shared" si="4"/>
        <v>1.1571572922596753</v>
      </c>
      <c r="P26" s="549">
        <v>29246.386637999996</v>
      </c>
      <c r="Q26" s="788">
        <f t="shared" si="4"/>
        <v>-0.19265135291276436</v>
      </c>
      <c r="R26" s="549">
        <v>128903.65130500001</v>
      </c>
      <c r="S26" s="788">
        <f t="shared" si="5"/>
        <v>3.4075069136067144</v>
      </c>
      <c r="T26" s="55"/>
      <c r="U26" s="55"/>
      <c r="V26" s="135"/>
      <c r="W26" s="55"/>
      <c r="X26" s="55"/>
      <c r="Y26" s="135"/>
      <c r="Z26" s="55"/>
      <c r="AA26" s="55"/>
      <c r="AB26" s="135"/>
      <c r="AC26" s="55"/>
      <c r="AD26" s="55"/>
      <c r="AE26" s="135"/>
      <c r="AF26" s="55"/>
      <c r="AG26" s="55"/>
      <c r="AH26" s="135"/>
      <c r="AI26" s="55"/>
      <c r="AJ26" s="55"/>
      <c r="AK26" s="135"/>
      <c r="AL26" s="55"/>
      <c r="AM26" s="55"/>
      <c r="AN26" s="135"/>
      <c r="AO26" s="55"/>
      <c r="AP26" s="55"/>
      <c r="AQ26" s="135"/>
      <c r="AR26" s="55"/>
      <c r="AS26" s="55"/>
      <c r="AT26" s="135"/>
      <c r="AU26" s="55"/>
      <c r="AV26" s="55"/>
      <c r="AW26" s="135"/>
      <c r="AX26" s="55"/>
      <c r="AY26" s="55"/>
      <c r="AZ26" s="135"/>
      <c r="BA26" s="55"/>
      <c r="BB26" s="55"/>
      <c r="BC26" s="135"/>
      <c r="BD26" s="55"/>
      <c r="BE26" s="55"/>
      <c r="BF26" s="135"/>
      <c r="BG26" s="55"/>
      <c r="BH26" s="55"/>
      <c r="BI26" s="135"/>
      <c r="BJ26" s="55"/>
      <c r="BK26" s="55"/>
      <c r="BL26" s="135"/>
      <c r="BM26" s="55"/>
      <c r="BN26" s="55"/>
    </row>
    <row r="27" spans="1:66" ht="16.2" customHeight="1" x14ac:dyDescent="0.4">
      <c r="A27" s="792"/>
      <c r="B27" s="565"/>
      <c r="C27" s="566" t="str">
        <f>BS_Quarterly!C27</f>
        <v>매입채무</v>
      </c>
      <c r="D27" s="555" t="str">
        <f>BS_Quarterly!D27</f>
        <v>Accounts Payable</v>
      </c>
      <c r="E27" s="550">
        <v>559.53030200000001</v>
      </c>
      <c r="F27" s="550">
        <v>849.05637200000001</v>
      </c>
      <c r="G27" s="789">
        <f t="shared" si="13"/>
        <v>0.51744484430085436</v>
      </c>
      <c r="H27" s="550">
        <v>705.81276700000001</v>
      </c>
      <c r="I27" s="789">
        <f t="shared" si="1"/>
        <v>-0.168709180831635</v>
      </c>
      <c r="J27" s="550">
        <v>840.32986200000005</v>
      </c>
      <c r="K27" s="789">
        <f t="shared" si="2"/>
        <v>0.19058467243622412</v>
      </c>
      <c r="L27" s="550">
        <v>1762.6824790000001</v>
      </c>
      <c r="M27" s="789">
        <f t="shared" si="3"/>
        <v>1.097607807016145</v>
      </c>
      <c r="N27" s="550">
        <v>2124.969047</v>
      </c>
      <c r="O27" s="789">
        <f t="shared" si="4"/>
        <v>0.20553138317091091</v>
      </c>
      <c r="P27" s="550">
        <v>2374.5903090000002</v>
      </c>
      <c r="Q27" s="789">
        <f t="shared" si="4"/>
        <v>0.1174705402661802</v>
      </c>
      <c r="R27" s="550">
        <v>17245.621450999999</v>
      </c>
      <c r="S27" s="789">
        <f t="shared" si="5"/>
        <v>6.2625670986851478</v>
      </c>
      <c r="T27" s="55"/>
      <c r="U27" s="55"/>
      <c r="V27" s="136"/>
      <c r="W27" s="55"/>
      <c r="X27" s="55"/>
      <c r="Y27" s="136"/>
      <c r="Z27" s="55"/>
      <c r="AA27" s="55"/>
      <c r="AB27" s="136"/>
      <c r="AC27" s="55"/>
      <c r="AD27" s="55"/>
      <c r="AE27" s="136"/>
      <c r="AF27" s="55"/>
      <c r="AG27" s="55"/>
      <c r="AH27" s="136"/>
      <c r="AI27" s="55"/>
      <c r="AJ27" s="55"/>
      <c r="AK27" s="136"/>
      <c r="AL27" s="55"/>
      <c r="AM27" s="55"/>
      <c r="AN27" s="136"/>
      <c r="AO27" s="55"/>
      <c r="AP27" s="55"/>
      <c r="AQ27" s="136"/>
      <c r="AR27" s="55"/>
      <c r="AS27" s="55"/>
      <c r="AT27" s="136"/>
      <c r="AU27" s="55"/>
      <c r="AV27" s="55"/>
      <c r="AW27" s="136"/>
      <c r="AX27" s="55"/>
      <c r="AY27" s="55"/>
      <c r="AZ27" s="136"/>
      <c r="BA27" s="55"/>
      <c r="BB27" s="55"/>
      <c r="BC27" s="136"/>
      <c r="BD27" s="55"/>
      <c r="BE27" s="55"/>
      <c r="BF27" s="136"/>
      <c r="BG27" s="55"/>
      <c r="BH27" s="55"/>
      <c r="BI27" s="136"/>
      <c r="BJ27" s="55"/>
      <c r="BK27" s="55"/>
      <c r="BL27" s="136"/>
      <c r="BM27" s="55"/>
      <c r="BN27" s="55"/>
    </row>
    <row r="28" spans="1:66" ht="16.2" customHeight="1" x14ac:dyDescent="0.4">
      <c r="A28" s="792"/>
      <c r="B28" s="565"/>
      <c r="C28" s="566" t="str">
        <f>BS_Quarterly!C28</f>
        <v>기타채무</v>
      </c>
      <c r="D28" s="555" t="str">
        <f>BS_Quarterly!D28</f>
        <v>Other Liabilities</v>
      </c>
      <c r="E28" s="550"/>
      <c r="F28" s="550"/>
      <c r="G28" s="789">
        <f t="shared" si="13"/>
        <v>0</v>
      </c>
      <c r="H28" s="550"/>
      <c r="I28" s="789">
        <f t="shared" si="1"/>
        <v>0</v>
      </c>
      <c r="J28" s="550"/>
      <c r="K28" s="789">
        <f t="shared" si="2"/>
        <v>0</v>
      </c>
      <c r="L28" s="550"/>
      <c r="M28" s="789">
        <f t="shared" si="3"/>
        <v>0</v>
      </c>
      <c r="N28" s="550"/>
      <c r="O28" s="789">
        <f t="shared" si="4"/>
        <v>0</v>
      </c>
      <c r="P28" s="550"/>
      <c r="Q28" s="789">
        <f t="shared" si="4"/>
        <v>0</v>
      </c>
      <c r="R28" s="550"/>
      <c r="S28" s="789">
        <f t="shared" si="5"/>
        <v>0</v>
      </c>
      <c r="T28" s="55"/>
      <c r="U28" s="55"/>
      <c r="V28" s="136"/>
      <c r="W28" s="55"/>
      <c r="X28" s="55"/>
      <c r="Y28" s="136"/>
      <c r="Z28" s="55"/>
      <c r="AA28" s="55"/>
      <c r="AB28" s="136"/>
      <c r="AC28" s="55"/>
      <c r="AD28" s="55"/>
      <c r="AE28" s="136"/>
      <c r="AF28" s="55"/>
      <c r="AG28" s="55"/>
      <c r="AH28" s="136"/>
      <c r="AI28" s="55"/>
      <c r="AJ28" s="55"/>
      <c r="AK28" s="136"/>
      <c r="AL28" s="55"/>
      <c r="AM28" s="55"/>
      <c r="AN28" s="136"/>
      <c r="AO28" s="55"/>
      <c r="AP28" s="55"/>
      <c r="AQ28" s="136"/>
      <c r="AR28" s="55"/>
      <c r="AS28" s="55"/>
      <c r="AT28" s="136"/>
      <c r="AU28" s="55"/>
      <c r="AV28" s="55"/>
      <c r="AW28" s="136"/>
      <c r="AX28" s="55"/>
      <c r="AY28" s="55"/>
      <c r="AZ28" s="136"/>
      <c r="BA28" s="55"/>
      <c r="BB28" s="55"/>
      <c r="BC28" s="136"/>
      <c r="BD28" s="55"/>
      <c r="BE28" s="55"/>
      <c r="BF28" s="136"/>
      <c r="BG28" s="55"/>
      <c r="BH28" s="55"/>
      <c r="BI28" s="136"/>
      <c r="BJ28" s="55"/>
      <c r="BK28" s="55"/>
      <c r="BL28" s="136"/>
      <c r="BM28" s="55"/>
      <c r="BN28" s="55"/>
    </row>
    <row r="29" spans="1:66" ht="16.2" customHeight="1" x14ac:dyDescent="0.4">
      <c r="A29" s="491"/>
      <c r="B29" s="565"/>
      <c r="C29" s="566" t="str">
        <f>BS_Quarterly!C29</f>
        <v>단기차입금</v>
      </c>
      <c r="D29" s="556" t="str">
        <f>BS_Quarterly!D29</f>
        <v>Current Loans Received</v>
      </c>
      <c r="E29" s="550">
        <v>7400</v>
      </c>
      <c r="F29" s="550">
        <v>5841.3627999999999</v>
      </c>
      <c r="G29" s="789">
        <f t="shared" si="13"/>
        <v>-0.21062664864864866</v>
      </c>
      <c r="H29" s="550">
        <v>9600</v>
      </c>
      <c r="I29" s="789">
        <f t="shared" si="1"/>
        <v>0.64345210675837494</v>
      </c>
      <c r="J29" s="550">
        <v>0</v>
      </c>
      <c r="K29" s="789">
        <f t="shared" si="2"/>
        <v>-1</v>
      </c>
      <c r="L29" s="550">
        <v>0</v>
      </c>
      <c r="M29" s="789">
        <f t="shared" si="3"/>
        <v>0</v>
      </c>
      <c r="N29" s="550">
        <v>2400</v>
      </c>
      <c r="O29" s="789">
        <f t="shared" si="4"/>
        <v>0</v>
      </c>
      <c r="P29" s="550">
        <v>2400</v>
      </c>
      <c r="Q29" s="789">
        <f t="shared" si="4"/>
        <v>0</v>
      </c>
      <c r="R29" s="550">
        <v>76716.824622999993</v>
      </c>
      <c r="S29" s="789">
        <f t="shared" si="5"/>
        <v>30.965343592916664</v>
      </c>
      <c r="T29" s="55"/>
      <c r="U29" s="55"/>
      <c r="V29" s="136"/>
      <c r="W29" s="55"/>
      <c r="X29" s="55"/>
      <c r="Y29" s="136"/>
      <c r="Z29" s="55"/>
      <c r="AA29" s="55"/>
      <c r="AB29" s="136"/>
      <c r="AC29" s="55"/>
      <c r="AD29" s="55"/>
      <c r="AE29" s="136"/>
      <c r="AF29" s="55"/>
      <c r="AG29" s="55"/>
      <c r="AH29" s="136"/>
      <c r="AI29" s="55"/>
      <c r="AJ29" s="55"/>
      <c r="AK29" s="136"/>
      <c r="AL29" s="55"/>
      <c r="AM29" s="55"/>
      <c r="AN29" s="136"/>
      <c r="AO29" s="55"/>
      <c r="AP29" s="55"/>
      <c r="AQ29" s="136"/>
      <c r="AR29" s="55"/>
      <c r="AS29" s="55"/>
      <c r="AT29" s="136"/>
      <c r="AU29" s="55"/>
      <c r="AV29" s="55"/>
      <c r="AW29" s="136"/>
      <c r="AX29" s="55"/>
      <c r="AY29" s="55"/>
      <c r="AZ29" s="136"/>
      <c r="BA29" s="55"/>
      <c r="BB29" s="55"/>
      <c r="BC29" s="136"/>
      <c r="BD29" s="55"/>
      <c r="BE29" s="55"/>
      <c r="BF29" s="136"/>
      <c r="BG29" s="55"/>
      <c r="BH29" s="55"/>
      <c r="BI29" s="136"/>
      <c r="BJ29" s="55"/>
      <c r="BK29" s="55"/>
      <c r="BL29" s="136"/>
      <c r="BM29" s="55"/>
      <c r="BN29" s="55"/>
    </row>
    <row r="30" spans="1:66" ht="16.2" customHeight="1" x14ac:dyDescent="0.4">
      <c r="A30" s="491"/>
      <c r="B30" s="565"/>
      <c r="C30" s="566" t="str">
        <f>BS_Quarterly!C30</f>
        <v>당기법인세부채</v>
      </c>
      <c r="D30" s="555" t="str">
        <f>BS_Quarterly!D30</f>
        <v>Current Income Tax Liabilities</v>
      </c>
      <c r="E30" s="550">
        <v>1386.2138709999999</v>
      </c>
      <c r="F30" s="550">
        <v>1869.8462099999999</v>
      </c>
      <c r="G30" s="789">
        <f t="shared" si="13"/>
        <v>0.34888724540832428</v>
      </c>
      <c r="H30" s="550">
        <v>7265.4351360000001</v>
      </c>
      <c r="I30" s="789">
        <f t="shared" si="1"/>
        <v>2.8855789835250678</v>
      </c>
      <c r="J30" s="550">
        <v>4396.4878559999997</v>
      </c>
      <c r="K30" s="789">
        <f t="shared" si="2"/>
        <v>-0.39487618102657851</v>
      </c>
      <c r="L30" s="550">
        <v>5965.6538119999996</v>
      </c>
      <c r="M30" s="789">
        <f t="shared" si="3"/>
        <v>0.35691351992671128</v>
      </c>
      <c r="N30" s="550">
        <v>18158.545451999998</v>
      </c>
      <c r="O30" s="789">
        <f t="shared" si="4"/>
        <v>2.043848339887544</v>
      </c>
      <c r="P30" s="550">
        <v>10482.475130999999</v>
      </c>
      <c r="Q30" s="789">
        <f t="shared" si="4"/>
        <v>-0.42272495565742296</v>
      </c>
      <c r="R30" s="550">
        <v>17398.947957</v>
      </c>
      <c r="S30" s="789">
        <f t="shared" si="5"/>
        <v>0.65981294871340079</v>
      </c>
      <c r="T30" s="55"/>
      <c r="U30" s="55"/>
      <c r="V30" s="136"/>
      <c r="W30" s="55"/>
      <c r="X30" s="55"/>
      <c r="Y30" s="136"/>
      <c r="Z30" s="55"/>
      <c r="AA30" s="55"/>
      <c r="AB30" s="136"/>
      <c r="AC30" s="55"/>
      <c r="AD30" s="55"/>
      <c r="AE30" s="136"/>
      <c r="AF30" s="55"/>
      <c r="AG30" s="55"/>
      <c r="AH30" s="136"/>
      <c r="AI30" s="55"/>
      <c r="AJ30" s="55"/>
      <c r="AK30" s="136"/>
      <c r="AL30" s="55"/>
      <c r="AM30" s="55"/>
      <c r="AN30" s="136"/>
      <c r="AO30" s="55"/>
      <c r="AP30" s="55"/>
      <c r="AQ30" s="136"/>
      <c r="AR30" s="55"/>
      <c r="AS30" s="55"/>
      <c r="AT30" s="136"/>
      <c r="AU30" s="55"/>
      <c r="AV30" s="55"/>
      <c r="AW30" s="136"/>
      <c r="AX30" s="55"/>
      <c r="AY30" s="55"/>
      <c r="AZ30" s="136"/>
      <c r="BA30" s="55"/>
      <c r="BB30" s="55"/>
      <c r="BC30" s="136"/>
      <c r="BD30" s="55"/>
      <c r="BE30" s="55"/>
      <c r="BF30" s="136"/>
      <c r="BG30" s="55"/>
      <c r="BH30" s="55"/>
      <c r="BI30" s="136"/>
      <c r="BJ30" s="55"/>
      <c r="BK30" s="55"/>
      <c r="BL30" s="136"/>
      <c r="BM30" s="55"/>
      <c r="BN30" s="55"/>
    </row>
    <row r="31" spans="1:66" ht="16.2" customHeight="1" x14ac:dyDescent="0.4">
      <c r="A31" s="491"/>
      <c r="B31" s="565"/>
      <c r="C31" s="566" t="str">
        <f>BS_Quarterly!C31</f>
        <v>기타금융부채</v>
      </c>
      <c r="D31" s="555" t="str">
        <f>BS_Quarterly!D31</f>
        <v xml:space="preserve">Other Financial Liabilities </v>
      </c>
      <c r="E31" s="550">
        <v>319.89434799999998</v>
      </c>
      <c r="F31" s="550">
        <v>612.73799699999995</v>
      </c>
      <c r="G31" s="789">
        <f t="shared" si="13"/>
        <v>0.91543864663717023</v>
      </c>
      <c r="H31" s="550">
        <v>801.48676</v>
      </c>
      <c r="I31" s="789">
        <f t="shared" si="1"/>
        <v>0.3080415510774992</v>
      </c>
      <c r="J31" s="550">
        <v>580.43126700000005</v>
      </c>
      <c r="K31" s="789">
        <f t="shared" si="2"/>
        <v>-0.27580679311533474</v>
      </c>
      <c r="L31" s="550">
        <v>980.20801500000005</v>
      </c>
      <c r="M31" s="789">
        <f t="shared" si="3"/>
        <v>0.68875811957249367</v>
      </c>
      <c r="N31" s="550">
        <v>5465.274676</v>
      </c>
      <c r="O31" s="789">
        <f t="shared" si="4"/>
        <v>4.5756274100656071</v>
      </c>
      <c r="P31" s="550">
        <v>6794.9653099999996</v>
      </c>
      <c r="Q31" s="789">
        <f t="shared" si="4"/>
        <v>0.24329804315950532</v>
      </c>
      <c r="R31" s="550">
        <v>7598.3008680000003</v>
      </c>
      <c r="S31" s="789">
        <f t="shared" si="5"/>
        <v>0.11822511541269387</v>
      </c>
      <c r="T31" s="55"/>
      <c r="U31" s="55"/>
      <c r="V31" s="136"/>
      <c r="W31" s="55"/>
      <c r="X31" s="55"/>
      <c r="Y31" s="136"/>
      <c r="Z31" s="55"/>
      <c r="AA31" s="55"/>
      <c r="AB31" s="136"/>
      <c r="AC31" s="55"/>
      <c r="AD31" s="55"/>
      <c r="AE31" s="136"/>
      <c r="AF31" s="55"/>
      <c r="AG31" s="55"/>
      <c r="AH31" s="136"/>
      <c r="AI31" s="55"/>
      <c r="AJ31" s="55"/>
      <c r="AK31" s="136"/>
      <c r="AL31" s="55"/>
      <c r="AM31" s="55"/>
      <c r="AN31" s="136"/>
      <c r="AO31" s="55"/>
      <c r="AP31" s="55"/>
      <c r="AQ31" s="136"/>
      <c r="AR31" s="55"/>
      <c r="AS31" s="55"/>
      <c r="AT31" s="136"/>
      <c r="AU31" s="55"/>
      <c r="AV31" s="55"/>
      <c r="AW31" s="136"/>
      <c r="AX31" s="55"/>
      <c r="AY31" s="55"/>
      <c r="AZ31" s="136"/>
      <c r="BA31" s="55"/>
      <c r="BB31" s="55"/>
      <c r="BC31" s="136"/>
      <c r="BD31" s="55"/>
      <c r="BE31" s="55"/>
      <c r="BF31" s="136"/>
      <c r="BG31" s="55"/>
      <c r="BH31" s="55"/>
      <c r="BI31" s="136"/>
      <c r="BJ31" s="55"/>
      <c r="BK31" s="55"/>
      <c r="BL31" s="136"/>
      <c r="BM31" s="55"/>
      <c r="BN31" s="55"/>
    </row>
    <row r="32" spans="1:66" ht="16.2" customHeight="1" x14ac:dyDescent="0.4">
      <c r="A32" s="491"/>
      <c r="B32" s="565"/>
      <c r="C32" s="566" t="str">
        <f>BS_Quarterly!C32</f>
        <v>기타유동부채</v>
      </c>
      <c r="D32" s="555" t="str">
        <f>BS_Quarterly!D32</f>
        <v>Other Current Liabilities</v>
      </c>
      <c r="E32" s="550">
        <v>4523.3685079999996</v>
      </c>
      <c r="F32" s="550">
        <v>5177.8308429999997</v>
      </c>
      <c r="G32" s="789">
        <f t="shared" si="13"/>
        <v>0.14468472640301644</v>
      </c>
      <c r="H32" s="550">
        <v>6165.8761329999998</v>
      </c>
      <c r="I32" s="789">
        <f t="shared" si="1"/>
        <v>0.19082224196948339</v>
      </c>
      <c r="J32" s="550">
        <v>6641.2731389999999</v>
      </c>
      <c r="K32" s="789">
        <f t="shared" si="2"/>
        <v>7.7101290351205387E-2</v>
      </c>
      <c r="L32" s="550">
        <v>6742.8183419999996</v>
      </c>
      <c r="M32" s="789">
        <f t="shared" si="3"/>
        <v>1.5290020584108888E-2</v>
      </c>
      <c r="N32" s="550">
        <v>6293.1827620000004</v>
      </c>
      <c r="O32" s="789">
        <f t="shared" si="4"/>
        <v>-6.6683626518497019E-2</v>
      </c>
      <c r="P32" s="550">
        <v>5072.1659609999997</v>
      </c>
      <c r="Q32" s="789">
        <f t="shared" si="4"/>
        <v>-0.19402214224141745</v>
      </c>
      <c r="R32" s="550">
        <v>5307.068671</v>
      </c>
      <c r="S32" s="789">
        <f t="shared" si="5"/>
        <v>4.6312110409275409E-2</v>
      </c>
      <c r="T32" s="55"/>
      <c r="U32" s="55"/>
      <c r="V32" s="136"/>
      <c r="W32" s="55"/>
      <c r="X32" s="55"/>
      <c r="Y32" s="136"/>
      <c r="Z32" s="55"/>
      <c r="AA32" s="55"/>
      <c r="AB32" s="136"/>
      <c r="AC32" s="55"/>
      <c r="AD32" s="55"/>
      <c r="AE32" s="136"/>
      <c r="AF32" s="55"/>
      <c r="AG32" s="55"/>
      <c r="AH32" s="136"/>
      <c r="AI32" s="55"/>
      <c r="AJ32" s="55"/>
      <c r="AK32" s="136"/>
      <c r="AL32" s="55"/>
      <c r="AM32" s="55"/>
      <c r="AN32" s="136"/>
      <c r="AO32" s="55"/>
      <c r="AP32" s="55"/>
      <c r="AQ32" s="136"/>
      <c r="AR32" s="55"/>
      <c r="AS32" s="55"/>
      <c r="AT32" s="136"/>
      <c r="AU32" s="55"/>
      <c r="AV32" s="55"/>
      <c r="AW32" s="136"/>
      <c r="AX32" s="55"/>
      <c r="AY32" s="55"/>
      <c r="AZ32" s="136"/>
      <c r="BA32" s="55"/>
      <c r="BB32" s="55"/>
      <c r="BC32" s="136"/>
      <c r="BD32" s="55"/>
      <c r="BE32" s="55"/>
      <c r="BF32" s="136"/>
      <c r="BG32" s="55"/>
      <c r="BH32" s="55"/>
      <c r="BI32" s="136"/>
      <c r="BJ32" s="55"/>
      <c r="BK32" s="55"/>
      <c r="BL32" s="136"/>
      <c r="BM32" s="55"/>
      <c r="BN32" s="55"/>
    </row>
    <row r="33" spans="1:66" ht="16.2" customHeight="1" x14ac:dyDescent="0.4">
      <c r="A33" s="491"/>
      <c r="B33" s="565"/>
      <c r="C33" s="566" t="str">
        <f>BS_Quarterly!C33</f>
        <v>전환사채(유동)</v>
      </c>
      <c r="D33" s="555" t="str">
        <f>BS_Quarterly!D33</f>
        <v>Current Convertible Bonds</v>
      </c>
      <c r="E33" s="550"/>
      <c r="F33" s="550"/>
      <c r="G33" s="789"/>
      <c r="H33" s="550"/>
      <c r="I33" s="789"/>
      <c r="J33" s="550"/>
      <c r="K33" s="789"/>
      <c r="L33" s="550"/>
      <c r="M33" s="789">
        <f t="shared" si="3"/>
        <v>0</v>
      </c>
      <c r="N33" s="550">
        <v>0</v>
      </c>
      <c r="O33" s="789">
        <f t="shared" si="4"/>
        <v>0</v>
      </c>
      <c r="P33" s="550">
        <v>0</v>
      </c>
      <c r="Q33" s="789">
        <f t="shared" si="4"/>
        <v>0</v>
      </c>
      <c r="R33" s="550">
        <v>2096.5291579999998</v>
      </c>
      <c r="S33" s="789">
        <f t="shared" si="5"/>
        <v>0</v>
      </c>
      <c r="T33" s="55"/>
      <c r="U33" s="55"/>
      <c r="V33" s="136"/>
      <c r="W33" s="55"/>
      <c r="X33" s="55"/>
      <c r="Y33" s="136"/>
      <c r="Z33" s="55"/>
      <c r="AA33" s="55"/>
      <c r="AB33" s="136"/>
      <c r="AC33" s="55"/>
      <c r="AD33" s="55"/>
      <c r="AE33" s="136"/>
      <c r="AF33" s="55"/>
      <c r="AG33" s="55"/>
      <c r="AH33" s="136"/>
      <c r="AI33" s="55"/>
      <c r="AJ33" s="55"/>
      <c r="AK33" s="136"/>
      <c r="AL33" s="55"/>
      <c r="AM33" s="55"/>
      <c r="AN33" s="136"/>
      <c r="AO33" s="55"/>
      <c r="AP33" s="55"/>
      <c r="AQ33" s="136"/>
      <c r="AR33" s="55"/>
      <c r="AS33" s="55"/>
      <c r="AT33" s="136"/>
      <c r="AU33" s="55"/>
      <c r="AV33" s="55"/>
      <c r="AW33" s="136"/>
      <c r="AX33" s="55"/>
      <c r="AY33" s="55"/>
      <c r="AZ33" s="136"/>
      <c r="BA33" s="55"/>
      <c r="BB33" s="55"/>
      <c r="BC33" s="136"/>
      <c r="BD33" s="55"/>
      <c r="BE33" s="55"/>
      <c r="BF33" s="136"/>
      <c r="BG33" s="55"/>
      <c r="BH33" s="55"/>
      <c r="BI33" s="136"/>
      <c r="BJ33" s="55"/>
      <c r="BK33" s="55"/>
      <c r="BL33" s="136"/>
      <c r="BM33" s="55"/>
      <c r="BN33" s="55"/>
    </row>
    <row r="34" spans="1:66" ht="16.2" customHeight="1" x14ac:dyDescent="0.4">
      <c r="A34" s="491"/>
      <c r="B34" s="565"/>
      <c r="C34" s="566" t="str">
        <f>BS_Quarterly!C34</f>
        <v>충당부채(유동)</v>
      </c>
      <c r="D34" s="555" t="str">
        <f>BS_Quarterly!D34</f>
        <v>Current Provision</v>
      </c>
      <c r="E34" s="550">
        <v>224.157342</v>
      </c>
      <c r="F34" s="550">
        <v>474.14202499999999</v>
      </c>
      <c r="G34" s="789">
        <f>IFERROR(F34/E34-1,0)</f>
        <v>1.1152196968859491</v>
      </c>
      <c r="H34" s="550">
        <v>756.12944400000003</v>
      </c>
      <c r="I34" s="789">
        <f t="shared" si="1"/>
        <v>0.59473196665070982</v>
      </c>
      <c r="J34" s="550">
        <v>775.58098399999994</v>
      </c>
      <c r="K34" s="789">
        <f t="shared" si="2"/>
        <v>2.5725145547962347E-2</v>
      </c>
      <c r="L34" s="550">
        <v>827.52125100000001</v>
      </c>
      <c r="M34" s="789">
        <f t="shared" si="3"/>
        <v>6.6969495219083575E-2</v>
      </c>
      <c r="N34" s="550">
        <v>1225.9501250000001</v>
      </c>
      <c r="O34" s="789">
        <f t="shared" si="4"/>
        <v>0.48147267942488159</v>
      </c>
      <c r="P34" s="550">
        <v>1382.8205379999999</v>
      </c>
      <c r="Q34" s="789">
        <f t="shared" si="4"/>
        <v>0.12795823402685325</v>
      </c>
      <c r="R34" s="550">
        <v>1994.70796</v>
      </c>
      <c r="S34" s="789">
        <f t="shared" si="5"/>
        <v>0.44249228673229335</v>
      </c>
      <c r="T34" s="55"/>
      <c r="U34" s="55"/>
      <c r="V34" s="136"/>
      <c r="W34" s="55"/>
      <c r="X34" s="55"/>
      <c r="Y34" s="136"/>
      <c r="Z34" s="55"/>
      <c r="AA34" s="55"/>
      <c r="AB34" s="136"/>
      <c r="AC34" s="55"/>
      <c r="AD34" s="55"/>
      <c r="AE34" s="136"/>
      <c r="AF34" s="55"/>
      <c r="AG34" s="55"/>
      <c r="AH34" s="136"/>
      <c r="AI34" s="55"/>
      <c r="AJ34" s="55"/>
      <c r="AK34" s="136"/>
      <c r="AL34" s="55"/>
      <c r="AM34" s="55"/>
      <c r="AN34" s="136"/>
      <c r="AO34" s="55"/>
      <c r="AP34" s="55"/>
      <c r="AQ34" s="136"/>
      <c r="AR34" s="55"/>
      <c r="AS34" s="55"/>
      <c r="AT34" s="136"/>
      <c r="AU34" s="55"/>
      <c r="AV34" s="55"/>
      <c r="AW34" s="136"/>
      <c r="AX34" s="55"/>
      <c r="AY34" s="55"/>
      <c r="AZ34" s="136"/>
      <c r="BA34" s="55"/>
      <c r="BB34" s="55"/>
      <c r="BC34" s="136"/>
      <c r="BD34" s="55"/>
      <c r="BE34" s="55"/>
      <c r="BF34" s="136"/>
      <c r="BG34" s="55"/>
      <c r="BH34" s="55"/>
      <c r="BI34" s="136"/>
      <c r="BJ34" s="55"/>
      <c r="BK34" s="55"/>
      <c r="BL34" s="136"/>
      <c r="BM34" s="55"/>
      <c r="BN34" s="55"/>
    </row>
    <row r="35" spans="1:66" ht="16.2" customHeight="1" x14ac:dyDescent="0.4">
      <c r="A35" s="491"/>
      <c r="B35" s="565"/>
      <c r="C35" s="566" t="str">
        <f>BS_Quarterly!C35</f>
        <v>리스부채</v>
      </c>
      <c r="D35" s="555" t="str">
        <f>BS_Quarterly!D35</f>
        <v>Lease Liabilities</v>
      </c>
      <c r="E35" s="550">
        <v>0</v>
      </c>
      <c r="F35" s="550" t="s">
        <v>126</v>
      </c>
      <c r="G35" s="789">
        <f>IFERROR(F35/E35-1,0)</f>
        <v>0</v>
      </c>
      <c r="H35" s="550">
        <v>192.277872</v>
      </c>
      <c r="I35" s="789">
        <f t="shared" si="1"/>
        <v>0</v>
      </c>
      <c r="J35" s="550">
        <v>215.579441</v>
      </c>
      <c r="K35" s="789">
        <f t="shared" si="2"/>
        <v>0.12118695072722674</v>
      </c>
      <c r="L35" s="550">
        <v>514.15452800000003</v>
      </c>
      <c r="M35" s="789">
        <f t="shared" si="3"/>
        <v>1.3849886873025152</v>
      </c>
      <c r="N35" s="550">
        <v>557.30323999999996</v>
      </c>
      <c r="O35" s="789">
        <f t="shared" si="4"/>
        <v>8.3921680448567182E-2</v>
      </c>
      <c r="P35" s="550">
        <v>739.36938899999996</v>
      </c>
      <c r="Q35" s="789">
        <f t="shared" si="4"/>
        <v>0.32669135209047062</v>
      </c>
      <c r="R35" s="550">
        <v>538.59117600000002</v>
      </c>
      <c r="S35" s="789">
        <f t="shared" si="5"/>
        <v>-0.27155332096119544</v>
      </c>
      <c r="T35" s="55"/>
      <c r="U35" s="55"/>
      <c r="V35" s="136"/>
      <c r="W35" s="55"/>
      <c r="X35" s="55"/>
      <c r="Y35" s="136"/>
      <c r="Z35" s="55"/>
      <c r="AA35" s="55"/>
      <c r="AB35" s="136"/>
      <c r="AC35" s="55"/>
      <c r="AD35" s="55"/>
      <c r="AE35" s="136"/>
      <c r="AF35" s="55"/>
      <c r="AG35" s="55"/>
      <c r="AH35" s="136"/>
      <c r="AI35" s="55"/>
      <c r="AJ35" s="55"/>
      <c r="AK35" s="136"/>
      <c r="AL35" s="55"/>
      <c r="AM35" s="55"/>
      <c r="AN35" s="136"/>
      <c r="AO35" s="55"/>
      <c r="AP35" s="55"/>
      <c r="AQ35" s="136"/>
      <c r="AR35" s="55"/>
      <c r="AS35" s="55"/>
      <c r="AT35" s="136"/>
      <c r="AU35" s="55"/>
      <c r="AV35" s="55"/>
      <c r="AW35" s="136"/>
      <c r="AX35" s="55"/>
      <c r="AY35" s="55"/>
      <c r="AZ35" s="136"/>
      <c r="BA35" s="55"/>
      <c r="BB35" s="55"/>
      <c r="BC35" s="136"/>
      <c r="BD35" s="55"/>
      <c r="BE35" s="55"/>
      <c r="BF35" s="136"/>
      <c r="BG35" s="55"/>
      <c r="BH35" s="55"/>
      <c r="BI35" s="136"/>
      <c r="BJ35" s="55"/>
      <c r="BK35" s="55"/>
      <c r="BL35" s="136"/>
      <c r="BM35" s="55"/>
      <c r="BN35" s="55"/>
    </row>
    <row r="36" spans="1:66" ht="16.2" customHeight="1" x14ac:dyDescent="0.4">
      <c r="A36" s="491"/>
      <c r="B36" s="565"/>
      <c r="C36" s="566" t="str">
        <f>BS_Quarterly!C36</f>
        <v>파생상품부채(유동)</v>
      </c>
      <c r="D36" s="555" t="str">
        <f>BS_Quarterly!D36</f>
        <v>Current Derivative Liabilities</v>
      </c>
      <c r="E36" s="550"/>
      <c r="F36" s="550"/>
      <c r="G36" s="789"/>
      <c r="H36" s="550"/>
      <c r="I36" s="789"/>
      <c r="J36" s="550"/>
      <c r="K36" s="789"/>
      <c r="L36" s="550"/>
      <c r="M36" s="789"/>
      <c r="N36" s="550">
        <v>0</v>
      </c>
      <c r="O36" s="789"/>
      <c r="P36" s="550">
        <v>0</v>
      </c>
      <c r="Q36" s="789"/>
      <c r="R36" s="550">
        <v>7.0594409999999996</v>
      </c>
      <c r="S36" s="789">
        <f t="shared" si="5"/>
        <v>0</v>
      </c>
      <c r="T36" s="55"/>
      <c r="U36" s="55"/>
      <c r="V36" s="136"/>
      <c r="W36" s="55"/>
      <c r="X36" s="55"/>
      <c r="Y36" s="136"/>
      <c r="Z36" s="55"/>
      <c r="AA36" s="55"/>
      <c r="AB36" s="136"/>
      <c r="AC36" s="55"/>
      <c r="AD36" s="55"/>
      <c r="AE36" s="136"/>
      <c r="AF36" s="55"/>
      <c r="AG36" s="55"/>
      <c r="AH36" s="136"/>
      <c r="AI36" s="55"/>
      <c r="AJ36" s="55"/>
      <c r="AK36" s="136"/>
      <c r="AL36" s="55"/>
      <c r="AM36" s="55"/>
      <c r="AN36" s="136"/>
      <c r="AO36" s="55"/>
      <c r="AP36" s="55"/>
      <c r="AQ36" s="136"/>
      <c r="AR36" s="55"/>
      <c r="AS36" s="55"/>
      <c r="AT36" s="136"/>
      <c r="AU36" s="55"/>
      <c r="AV36" s="55"/>
      <c r="AW36" s="136"/>
      <c r="AX36" s="55"/>
      <c r="AY36" s="55"/>
      <c r="AZ36" s="136"/>
      <c r="BA36" s="55"/>
      <c r="BB36" s="55"/>
      <c r="BC36" s="136"/>
      <c r="BD36" s="55"/>
      <c r="BE36" s="55"/>
      <c r="BF36" s="136"/>
      <c r="BG36" s="55"/>
      <c r="BH36" s="55"/>
      <c r="BI36" s="136"/>
      <c r="BJ36" s="55"/>
      <c r="BK36" s="55"/>
      <c r="BL36" s="136"/>
      <c r="BM36" s="55"/>
      <c r="BN36" s="55"/>
    </row>
    <row r="37" spans="1:66" s="21" customFormat="1" ht="16.2" customHeight="1" x14ac:dyDescent="0.4">
      <c r="A37" s="491"/>
      <c r="B37" s="563" t="str">
        <f>BS_Quarterly!B37</f>
        <v>　비유동부채</v>
      </c>
      <c r="C37" s="564"/>
      <c r="D37" s="554" t="str">
        <f>BS_Quarterly!D37</f>
        <v>Non-Current Liabilities</v>
      </c>
      <c r="E37" s="549">
        <f>SUM(E38:E42)</f>
        <v>13655.998661</v>
      </c>
      <c r="F37" s="549">
        <v>9809.2040130000005</v>
      </c>
      <c r="G37" s="788">
        <f t="shared" ref="G37:G51" si="14">IFERROR(F37/E37-1,0)</f>
        <v>-0.28169266441025753</v>
      </c>
      <c r="H37" s="549">
        <v>253.84761699999999</v>
      </c>
      <c r="I37" s="788">
        <f t="shared" si="1"/>
        <v>-0.97412148665033582</v>
      </c>
      <c r="J37" s="549">
        <v>319.55417399999999</v>
      </c>
      <c r="K37" s="788">
        <f t="shared" si="2"/>
        <v>0.2588425204716418</v>
      </c>
      <c r="L37" s="549">
        <v>35841.735557</v>
      </c>
      <c r="M37" s="788">
        <f t="shared" si="3"/>
        <v>111.16168798032975</v>
      </c>
      <c r="N37" s="549">
        <v>65632.025836999994</v>
      </c>
      <c r="O37" s="788">
        <f t="shared" si="4"/>
        <v>0.83116204662086624</v>
      </c>
      <c r="P37" s="549">
        <v>62696.135452999995</v>
      </c>
      <c r="Q37" s="788">
        <f t="shared" si="4"/>
        <v>-4.4732588192407885E-2</v>
      </c>
      <c r="R37" s="549">
        <v>26831.242768</v>
      </c>
      <c r="S37" s="788">
        <f t="shared" si="5"/>
        <v>-0.57204311598895963</v>
      </c>
      <c r="T37" s="55"/>
      <c r="U37" s="55"/>
      <c r="V37" s="135"/>
      <c r="W37" s="55"/>
      <c r="X37" s="55"/>
      <c r="Y37" s="135"/>
      <c r="Z37" s="55"/>
      <c r="AA37" s="55"/>
      <c r="AB37" s="135"/>
      <c r="AC37" s="55"/>
      <c r="AD37" s="55"/>
      <c r="AE37" s="135"/>
      <c r="AF37" s="55"/>
      <c r="AG37" s="55"/>
      <c r="AH37" s="135"/>
      <c r="AI37" s="55"/>
      <c r="AJ37" s="55"/>
      <c r="AK37" s="135"/>
      <c r="AL37" s="55"/>
      <c r="AM37" s="55"/>
      <c r="AN37" s="135"/>
      <c r="AO37" s="55"/>
      <c r="AP37" s="55"/>
      <c r="AQ37" s="135"/>
      <c r="AR37" s="55"/>
      <c r="AS37" s="55"/>
      <c r="AT37" s="135"/>
      <c r="AU37" s="55"/>
      <c r="AV37" s="55"/>
      <c r="AW37" s="135"/>
      <c r="AX37" s="55"/>
      <c r="AY37" s="55"/>
      <c r="AZ37" s="135"/>
      <c r="BA37" s="55"/>
      <c r="BB37" s="55"/>
      <c r="BC37" s="135"/>
      <c r="BD37" s="55"/>
      <c r="BE37" s="55"/>
      <c r="BF37" s="135"/>
      <c r="BG37" s="55"/>
      <c r="BH37" s="55"/>
      <c r="BI37" s="135"/>
      <c r="BJ37" s="55"/>
      <c r="BK37" s="55"/>
      <c r="BL37" s="135"/>
      <c r="BM37" s="55"/>
      <c r="BN37" s="55"/>
    </row>
    <row r="38" spans="1:66" ht="16.2" customHeight="1" x14ac:dyDescent="0.4">
      <c r="A38" s="491"/>
      <c r="B38" s="565"/>
      <c r="C38" s="566" t="str">
        <f>BS_Quarterly!C38</f>
        <v>장기차입금</v>
      </c>
      <c r="D38" s="555" t="str">
        <f>BS_Quarterly!D38</f>
        <v>Long-Term Borrowings</v>
      </c>
      <c r="E38" s="550">
        <v>12000</v>
      </c>
      <c r="F38" s="550">
        <v>9600</v>
      </c>
      <c r="G38" s="789">
        <f t="shared" si="14"/>
        <v>-0.19999999999999996</v>
      </c>
      <c r="H38" s="550">
        <v>0</v>
      </c>
      <c r="I38" s="789">
        <f t="shared" si="1"/>
        <v>-1</v>
      </c>
      <c r="J38" s="550">
        <v>0</v>
      </c>
      <c r="K38" s="789">
        <f t="shared" si="2"/>
        <v>0</v>
      </c>
      <c r="L38" s="550">
        <v>35000</v>
      </c>
      <c r="M38" s="789">
        <f t="shared" si="3"/>
        <v>0</v>
      </c>
      <c r="N38" s="550">
        <v>64400</v>
      </c>
      <c r="O38" s="789">
        <f t="shared" si="4"/>
        <v>0.84000000000000008</v>
      </c>
      <c r="P38" s="550">
        <v>62000</v>
      </c>
      <c r="Q38" s="789">
        <f t="shared" si="4"/>
        <v>-3.7267080745341574E-2</v>
      </c>
      <c r="R38" s="550">
        <v>11512.1168</v>
      </c>
      <c r="S38" s="789">
        <f t="shared" si="5"/>
        <v>-0.81432069677419361</v>
      </c>
      <c r="T38" s="55"/>
      <c r="U38" s="55"/>
      <c r="V38" s="136"/>
      <c r="W38" s="55"/>
      <c r="X38" s="55"/>
      <c r="Y38" s="136"/>
      <c r="Z38" s="55"/>
      <c r="AA38" s="55"/>
      <c r="AB38" s="136"/>
      <c r="AC38" s="55"/>
      <c r="AD38" s="55"/>
      <c r="AE38" s="136"/>
      <c r="AF38" s="55"/>
      <c r="AG38" s="55"/>
      <c r="AH38" s="136"/>
      <c r="AI38" s="55"/>
      <c r="AJ38" s="55"/>
      <c r="AK38" s="136"/>
      <c r="AL38" s="55"/>
      <c r="AM38" s="55"/>
      <c r="AN38" s="136"/>
      <c r="AO38" s="55"/>
      <c r="AP38" s="55"/>
      <c r="AQ38" s="136"/>
      <c r="AR38" s="55"/>
      <c r="AS38" s="55"/>
      <c r="AT38" s="136"/>
      <c r="AU38" s="55"/>
      <c r="AV38" s="55"/>
      <c r="AW38" s="136"/>
      <c r="AX38" s="55"/>
      <c r="AY38" s="55"/>
      <c r="AZ38" s="136"/>
      <c r="BA38" s="55"/>
      <c r="BB38" s="55"/>
      <c r="BC38" s="136"/>
      <c r="BD38" s="55"/>
      <c r="BE38" s="55"/>
      <c r="BF38" s="136"/>
      <c r="BG38" s="55"/>
      <c r="BH38" s="55"/>
      <c r="BI38" s="136"/>
      <c r="BJ38" s="55"/>
      <c r="BK38" s="55"/>
      <c r="BL38" s="136"/>
      <c r="BM38" s="55"/>
      <c r="BN38" s="55"/>
    </row>
    <row r="39" spans="1:66" ht="16.2" customHeight="1" x14ac:dyDescent="0.4">
      <c r="A39" s="491"/>
      <c r="B39" s="565"/>
      <c r="C39" s="566" t="str">
        <f>BS_Quarterly!C39</f>
        <v>기타비유동금융부채</v>
      </c>
      <c r="D39" s="555" t="str">
        <f>BS_Quarterly!D39</f>
        <v>Other Non-Current Financial Liabilities</v>
      </c>
      <c r="E39" s="550">
        <v>198</v>
      </c>
      <c r="F39" s="550">
        <v>208</v>
      </c>
      <c r="G39" s="789">
        <f t="shared" si="14"/>
        <v>5.0505050505050608E-2</v>
      </c>
      <c r="H39" s="550">
        <v>148</v>
      </c>
      <c r="I39" s="789">
        <f t="shared" si="1"/>
        <v>-0.28846153846153844</v>
      </c>
      <c r="J39" s="550">
        <v>148</v>
      </c>
      <c r="K39" s="789">
        <f t="shared" si="2"/>
        <v>0</v>
      </c>
      <c r="L39" s="550">
        <v>178</v>
      </c>
      <c r="M39" s="789">
        <f t="shared" si="3"/>
        <v>0.20270270270270263</v>
      </c>
      <c r="N39" s="550">
        <v>690.71199999999999</v>
      </c>
      <c r="O39" s="789">
        <f t="shared" si="4"/>
        <v>2.8804044943820224</v>
      </c>
      <c r="P39" s="550">
        <v>207.422</v>
      </c>
      <c r="Q39" s="789">
        <f t="shared" si="4"/>
        <v>-0.69969828235212361</v>
      </c>
      <c r="R39" s="550">
        <v>125</v>
      </c>
      <c r="S39" s="789">
        <f t="shared" si="5"/>
        <v>-0.39736382833064954</v>
      </c>
      <c r="T39" s="55"/>
      <c r="U39" s="55"/>
      <c r="V39" s="136"/>
      <c r="W39" s="55"/>
      <c r="X39" s="55"/>
      <c r="Y39" s="136"/>
      <c r="Z39" s="55"/>
      <c r="AA39" s="55"/>
      <c r="AB39" s="136"/>
      <c r="AC39" s="55"/>
      <c r="AD39" s="55"/>
      <c r="AE39" s="136"/>
      <c r="AF39" s="55"/>
      <c r="AG39" s="55"/>
      <c r="AH39" s="136"/>
      <c r="AI39" s="55"/>
      <c r="AJ39" s="55"/>
      <c r="AK39" s="136"/>
      <c r="AL39" s="55"/>
      <c r="AM39" s="55"/>
      <c r="AN39" s="136"/>
      <c r="AO39" s="55"/>
      <c r="AP39" s="55"/>
      <c r="AQ39" s="136"/>
      <c r="AR39" s="55"/>
      <c r="AS39" s="55"/>
      <c r="AT39" s="136"/>
      <c r="AU39" s="55"/>
      <c r="AV39" s="55"/>
      <c r="AW39" s="136"/>
      <c r="AX39" s="55"/>
      <c r="AY39" s="55"/>
      <c r="AZ39" s="136"/>
      <c r="BA39" s="55"/>
      <c r="BB39" s="55"/>
      <c r="BC39" s="136"/>
      <c r="BD39" s="55"/>
      <c r="BE39" s="55"/>
      <c r="BF39" s="136"/>
      <c r="BG39" s="55"/>
      <c r="BH39" s="55"/>
      <c r="BI39" s="136"/>
      <c r="BJ39" s="55"/>
      <c r="BK39" s="55"/>
      <c r="BL39" s="136"/>
      <c r="BM39" s="55"/>
      <c r="BN39" s="55"/>
    </row>
    <row r="40" spans="1:66" ht="16.2" customHeight="1" x14ac:dyDescent="0.4">
      <c r="A40" s="491"/>
      <c r="B40" s="565"/>
      <c r="C40" s="566" t="str">
        <f>BS_Quarterly!C40</f>
        <v>비유동리스부채</v>
      </c>
      <c r="D40" s="555" t="str">
        <f>BS_Quarterly!D40</f>
        <v>Non-Current Lease Liabilities</v>
      </c>
      <c r="E40" s="550">
        <v>0</v>
      </c>
      <c r="F40" s="550"/>
      <c r="G40" s="789">
        <f t="shared" si="14"/>
        <v>0</v>
      </c>
      <c r="H40" s="550">
        <v>79.135993999999997</v>
      </c>
      <c r="I40" s="789">
        <f t="shared" si="1"/>
        <v>0</v>
      </c>
      <c r="J40" s="550">
        <v>171.55417399999999</v>
      </c>
      <c r="K40" s="789">
        <f t="shared" si="2"/>
        <v>1.1678400096926818</v>
      </c>
      <c r="L40" s="550">
        <v>291.45045699999997</v>
      </c>
      <c r="M40" s="789">
        <f t="shared" si="3"/>
        <v>0.69888292546003572</v>
      </c>
      <c r="N40" s="550">
        <v>541.31383700000004</v>
      </c>
      <c r="O40" s="789">
        <f t="shared" si="4"/>
        <v>0.85730996126041448</v>
      </c>
      <c r="P40" s="550">
        <v>488.71345300000002</v>
      </c>
      <c r="Q40" s="789">
        <f t="shared" si="4"/>
        <v>-9.7171696721286671E-2</v>
      </c>
      <c r="R40" s="550">
        <v>247.87149600000001</v>
      </c>
      <c r="S40" s="789">
        <f t="shared" si="5"/>
        <v>-0.49280811797092072</v>
      </c>
      <c r="T40" s="55"/>
      <c r="U40" s="55"/>
      <c r="V40" s="136"/>
      <c r="W40" s="55"/>
      <c r="X40" s="55"/>
      <c r="Y40" s="136"/>
      <c r="Z40" s="55"/>
      <c r="AA40" s="55"/>
      <c r="AB40" s="136"/>
      <c r="AC40" s="55"/>
      <c r="AD40" s="55"/>
      <c r="AE40" s="136"/>
      <c r="AF40" s="55"/>
      <c r="AG40" s="55"/>
      <c r="AH40" s="136"/>
      <c r="AI40" s="55"/>
      <c r="AJ40" s="55"/>
      <c r="AK40" s="136"/>
      <c r="AL40" s="55"/>
      <c r="AM40" s="55"/>
      <c r="AN40" s="136"/>
      <c r="AO40" s="55"/>
      <c r="AP40" s="55"/>
      <c r="AQ40" s="136"/>
      <c r="AR40" s="55"/>
      <c r="AS40" s="55"/>
      <c r="AT40" s="136"/>
      <c r="AU40" s="55"/>
      <c r="AV40" s="55"/>
      <c r="AW40" s="136"/>
      <c r="AX40" s="55"/>
      <c r="AY40" s="55"/>
      <c r="AZ40" s="136"/>
      <c r="BA40" s="55"/>
      <c r="BB40" s="55"/>
      <c r="BC40" s="136"/>
      <c r="BD40" s="55"/>
      <c r="BE40" s="55"/>
      <c r="BF40" s="136"/>
      <c r="BG40" s="55"/>
      <c r="BH40" s="55"/>
      <c r="BI40" s="136"/>
      <c r="BJ40" s="55"/>
      <c r="BK40" s="55"/>
      <c r="BL40" s="136"/>
      <c r="BM40" s="55"/>
      <c r="BN40" s="55"/>
    </row>
    <row r="41" spans="1:66" ht="16.2" customHeight="1" x14ac:dyDescent="0.4">
      <c r="A41" s="491"/>
      <c r="B41" s="565"/>
      <c r="C41" s="566" t="str">
        <f>BS_Quarterly!C41</f>
        <v>파생상품부채(비유동)</v>
      </c>
      <c r="D41" s="555" t="str">
        <f>BS_Quarterly!D41</f>
        <v>Non-Current derivative liabilities</v>
      </c>
      <c r="E41" s="550">
        <v>1457.9986610000001</v>
      </c>
      <c r="F41" s="550">
        <v>1.204013</v>
      </c>
      <c r="G41" s="789">
        <f t="shared" si="14"/>
        <v>-0.99917420157356374</v>
      </c>
      <c r="H41" s="550">
        <v>26.711622999999999</v>
      </c>
      <c r="I41" s="789">
        <f t="shared" si="1"/>
        <v>21.185493844335568</v>
      </c>
      <c r="J41" s="550">
        <v>0</v>
      </c>
      <c r="K41" s="789">
        <f t="shared" si="2"/>
        <v>-1</v>
      </c>
      <c r="L41" s="550">
        <v>0</v>
      </c>
      <c r="M41" s="789">
        <f t="shared" si="3"/>
        <v>0</v>
      </c>
      <c r="N41" s="550">
        <v>0</v>
      </c>
      <c r="O41" s="789">
        <f t="shared" si="4"/>
        <v>0</v>
      </c>
      <c r="P41" s="550">
        <v>0</v>
      </c>
      <c r="Q41" s="789">
        <f t="shared" si="4"/>
        <v>0</v>
      </c>
      <c r="R41" s="550">
        <v>1169.0989179999999</v>
      </c>
      <c r="S41" s="789">
        <f t="shared" si="5"/>
        <v>0</v>
      </c>
      <c r="T41" s="55"/>
      <c r="U41" s="55"/>
      <c r="V41" s="136"/>
      <c r="W41" s="55"/>
      <c r="X41" s="55"/>
      <c r="Y41" s="136"/>
      <c r="Z41" s="55"/>
      <c r="AA41" s="55"/>
      <c r="AB41" s="136"/>
      <c r="AC41" s="55"/>
      <c r="AD41" s="55"/>
      <c r="AE41" s="136"/>
      <c r="AF41" s="55"/>
      <c r="AG41" s="55"/>
      <c r="AH41" s="136"/>
      <c r="AI41" s="55"/>
      <c r="AJ41" s="55"/>
      <c r="AK41" s="136"/>
      <c r="AL41" s="55"/>
      <c r="AM41" s="55"/>
      <c r="AN41" s="136"/>
      <c r="AO41" s="55"/>
      <c r="AP41" s="55"/>
      <c r="AQ41" s="136"/>
      <c r="AR41" s="55"/>
      <c r="AS41" s="55"/>
      <c r="AT41" s="136"/>
      <c r="AU41" s="55"/>
      <c r="AV41" s="55"/>
      <c r="AW41" s="136"/>
      <c r="AX41" s="55"/>
      <c r="AY41" s="55"/>
      <c r="AZ41" s="136"/>
      <c r="BA41" s="55"/>
      <c r="BB41" s="55"/>
      <c r="BC41" s="136"/>
      <c r="BD41" s="55"/>
      <c r="BE41" s="55"/>
      <c r="BF41" s="136"/>
      <c r="BG41" s="55"/>
      <c r="BH41" s="55"/>
      <c r="BI41" s="136"/>
      <c r="BJ41" s="55"/>
      <c r="BK41" s="55"/>
      <c r="BL41" s="136"/>
      <c r="BM41" s="55"/>
      <c r="BN41" s="55"/>
    </row>
    <row r="42" spans="1:66" ht="16.2" customHeight="1" x14ac:dyDescent="0.4">
      <c r="A42" s="491"/>
      <c r="B42" s="565"/>
      <c r="C42" s="566" t="str">
        <f>BS_Quarterly!C42</f>
        <v>이연법인세부채</v>
      </c>
      <c r="D42" s="555" t="str">
        <f>BS_Quarterly!D42</f>
        <v>Deferred Income Tax Liabilities</v>
      </c>
      <c r="E42" s="550">
        <v>0</v>
      </c>
      <c r="F42" s="550"/>
      <c r="G42" s="789">
        <f t="shared" si="14"/>
        <v>0</v>
      </c>
      <c r="H42" s="550">
        <v>0</v>
      </c>
      <c r="I42" s="789">
        <f t="shared" si="1"/>
        <v>0</v>
      </c>
      <c r="J42" s="550">
        <v>0</v>
      </c>
      <c r="K42" s="789">
        <f t="shared" si="2"/>
        <v>0</v>
      </c>
      <c r="L42" s="550">
        <v>372.2851</v>
      </c>
      <c r="M42" s="789">
        <f t="shared" si="3"/>
        <v>0</v>
      </c>
      <c r="N42" s="550" t="s">
        <v>126</v>
      </c>
      <c r="O42" s="789">
        <f t="shared" si="4"/>
        <v>0</v>
      </c>
      <c r="P42" s="550">
        <v>0</v>
      </c>
      <c r="Q42" s="789">
        <f t="shared" si="4"/>
        <v>0</v>
      </c>
      <c r="R42" s="550">
        <v>13777.155554000001</v>
      </c>
      <c r="S42" s="789">
        <f t="shared" si="5"/>
        <v>0</v>
      </c>
      <c r="T42" s="55"/>
      <c r="U42" s="55"/>
      <c r="V42" s="136"/>
      <c r="W42" s="55"/>
      <c r="X42" s="55"/>
      <c r="Y42" s="136"/>
      <c r="Z42" s="55"/>
      <c r="AA42" s="55"/>
      <c r="AB42" s="136"/>
      <c r="AC42" s="55"/>
      <c r="AD42" s="55"/>
      <c r="AE42" s="136"/>
      <c r="AF42" s="55"/>
      <c r="AG42" s="55"/>
      <c r="AH42" s="136"/>
      <c r="AI42" s="55"/>
      <c r="AJ42" s="55"/>
      <c r="AK42" s="136"/>
      <c r="AL42" s="55"/>
      <c r="AM42" s="55"/>
      <c r="AN42" s="136"/>
      <c r="AO42" s="55"/>
      <c r="AP42" s="55"/>
      <c r="AQ42" s="136"/>
      <c r="AR42" s="55"/>
      <c r="AS42" s="55"/>
      <c r="AT42" s="136"/>
      <c r="AU42" s="55"/>
      <c r="AV42" s="55"/>
      <c r="AW42" s="136"/>
      <c r="AX42" s="55"/>
      <c r="AY42" s="55"/>
      <c r="AZ42" s="136"/>
      <c r="BA42" s="55"/>
      <c r="BB42" s="55"/>
      <c r="BC42" s="136"/>
      <c r="BD42" s="55"/>
      <c r="BE42" s="55"/>
      <c r="BF42" s="136"/>
      <c r="BG42" s="55"/>
      <c r="BH42" s="55"/>
      <c r="BI42" s="136"/>
      <c r="BJ42" s="55"/>
      <c r="BK42" s="55"/>
      <c r="BL42" s="136"/>
      <c r="BM42" s="55"/>
      <c r="BN42" s="55"/>
    </row>
    <row r="43" spans="1:66" s="21" customFormat="1" ht="16.2" customHeight="1" x14ac:dyDescent="0.4">
      <c r="A43" s="491"/>
      <c r="B43" s="561" t="str">
        <f>BS_Quarterly!B43</f>
        <v>자본</v>
      </c>
      <c r="C43" s="562"/>
      <c r="D43" s="553" t="str">
        <f>BS_Quarterly!D43</f>
        <v>Total Equity</v>
      </c>
      <c r="E43" s="548">
        <f>E50+E44</f>
        <v>35091.959739999998</v>
      </c>
      <c r="F43" s="548">
        <v>51043.024111000006</v>
      </c>
      <c r="G43" s="787">
        <f t="shared" si="14"/>
        <v>0.45455040098025634</v>
      </c>
      <c r="H43" s="548">
        <v>87916.575572000002</v>
      </c>
      <c r="I43" s="787">
        <f t="shared" si="1"/>
        <v>0.72240138791176323</v>
      </c>
      <c r="J43" s="548">
        <v>123756.87964500001</v>
      </c>
      <c r="K43" s="787">
        <f t="shared" si="2"/>
        <v>0.40766264882153314</v>
      </c>
      <c r="L43" s="548">
        <v>163744.43135199999</v>
      </c>
      <c r="M43" s="787">
        <f t="shared" si="3"/>
        <v>0.32311376807257397</v>
      </c>
      <c r="N43" s="548">
        <v>229553.85716000001</v>
      </c>
      <c r="O43" s="787">
        <f t="shared" si="4"/>
        <v>0.40190329078446685</v>
      </c>
      <c r="P43" s="548">
        <v>283500.499663</v>
      </c>
      <c r="Q43" s="787">
        <f t="shared" si="4"/>
        <v>0.23500647373308547</v>
      </c>
      <c r="R43" s="548">
        <v>452643.914758</v>
      </c>
      <c r="S43" s="787">
        <f t="shared" si="5"/>
        <v>0.59662475126520964</v>
      </c>
      <c r="T43" s="55"/>
      <c r="U43" s="55"/>
      <c r="V43" s="135"/>
      <c r="W43" s="55"/>
      <c r="X43" s="55"/>
      <c r="Y43" s="135"/>
      <c r="Z43" s="55"/>
      <c r="AA43" s="55"/>
      <c r="AB43" s="135"/>
      <c r="AC43" s="55"/>
      <c r="AD43" s="55"/>
      <c r="AE43" s="135"/>
      <c r="AF43" s="55"/>
      <c r="AG43" s="55"/>
      <c r="AH43" s="135"/>
      <c r="AI43" s="55"/>
      <c r="AJ43" s="55"/>
      <c r="AK43" s="135"/>
      <c r="AL43" s="55"/>
      <c r="AM43" s="55"/>
      <c r="AN43" s="135"/>
      <c r="AO43" s="55"/>
      <c r="AP43" s="55"/>
      <c r="AQ43" s="135"/>
      <c r="AR43" s="55"/>
      <c r="AS43" s="55"/>
      <c r="AT43" s="135"/>
      <c r="AU43" s="55"/>
      <c r="AV43" s="55"/>
      <c r="AW43" s="135"/>
      <c r="AX43" s="55"/>
      <c r="AY43" s="55"/>
      <c r="AZ43" s="135"/>
      <c r="BA43" s="55"/>
      <c r="BB43" s="55"/>
      <c r="BC43" s="135"/>
      <c r="BD43" s="55"/>
      <c r="BE43" s="55"/>
      <c r="BF43" s="135"/>
      <c r="BG43" s="55"/>
      <c r="BH43" s="55"/>
      <c r="BI43" s="135"/>
      <c r="BJ43" s="55"/>
      <c r="BK43" s="55"/>
      <c r="BL43" s="135"/>
      <c r="BM43" s="55"/>
      <c r="BN43" s="55"/>
    </row>
    <row r="44" spans="1:66" s="21" customFormat="1" ht="16.2" customHeight="1" x14ac:dyDescent="0.4">
      <c r="A44" s="491"/>
      <c r="B44" s="563" t="str">
        <f>BS_Quarterly!B44</f>
        <v>　지배기업소유주지분</v>
      </c>
      <c r="C44" s="564"/>
      <c r="D44" s="557" t="str">
        <f>BS_Quarterly!D44</f>
        <v>Equity Attributable to Owners of the Parent Company</v>
      </c>
      <c r="E44" s="549">
        <f>SUM(E45:E49)</f>
        <v>35091.959739999998</v>
      </c>
      <c r="F44" s="549">
        <v>51043.024111000006</v>
      </c>
      <c r="G44" s="788">
        <f t="shared" si="14"/>
        <v>0.45455040098025634</v>
      </c>
      <c r="H44" s="549">
        <v>87916.575572000002</v>
      </c>
      <c r="I44" s="788">
        <f t="shared" si="1"/>
        <v>0.72240138791176323</v>
      </c>
      <c r="J44" s="549">
        <v>123756.87964500001</v>
      </c>
      <c r="K44" s="788">
        <f t="shared" si="2"/>
        <v>0.40766264882153314</v>
      </c>
      <c r="L44" s="549">
        <v>163744.43135199999</v>
      </c>
      <c r="M44" s="788">
        <f t="shared" si="3"/>
        <v>0.32311376807257397</v>
      </c>
      <c r="N44" s="549">
        <v>229553.85716000001</v>
      </c>
      <c r="O44" s="788">
        <f t="shared" si="4"/>
        <v>0.40190329078446685</v>
      </c>
      <c r="P44" s="549">
        <v>283500.499663</v>
      </c>
      <c r="Q44" s="788">
        <f t="shared" si="4"/>
        <v>0.23500647373308547</v>
      </c>
      <c r="R44" s="549">
        <v>453964.808472</v>
      </c>
      <c r="S44" s="788">
        <f t="shared" si="5"/>
        <v>0.60128398013983286</v>
      </c>
      <c r="T44" s="55"/>
      <c r="U44" s="55"/>
      <c r="V44" s="135"/>
      <c r="W44" s="55"/>
      <c r="X44" s="55"/>
      <c r="Y44" s="135"/>
      <c r="Z44" s="55"/>
      <c r="AA44" s="55"/>
      <c r="AB44" s="135"/>
      <c r="AC44" s="55"/>
      <c r="AD44" s="55"/>
      <c r="AE44" s="135"/>
      <c r="AF44" s="55"/>
      <c r="AG44" s="55"/>
      <c r="AH44" s="135"/>
      <c r="AI44" s="55"/>
      <c r="AJ44" s="55"/>
      <c r="AK44" s="135"/>
      <c r="AL44" s="55"/>
      <c r="AM44" s="55"/>
      <c r="AN44" s="135"/>
      <c r="AO44" s="55"/>
      <c r="AP44" s="55"/>
      <c r="AQ44" s="135"/>
      <c r="AR44" s="55"/>
      <c r="AS44" s="55"/>
      <c r="AT44" s="135"/>
      <c r="AU44" s="55"/>
      <c r="AV44" s="55"/>
      <c r="AW44" s="135"/>
      <c r="AX44" s="55"/>
      <c r="AY44" s="55"/>
      <c r="AZ44" s="135"/>
      <c r="BA44" s="55"/>
      <c r="BB44" s="55"/>
      <c r="BC44" s="135"/>
      <c r="BD44" s="55"/>
      <c r="BE44" s="55"/>
      <c r="BF44" s="135"/>
      <c r="BG44" s="55"/>
      <c r="BH44" s="55"/>
      <c r="BI44" s="135"/>
      <c r="BJ44" s="55"/>
      <c r="BK44" s="55"/>
      <c r="BL44" s="135"/>
      <c r="BM44" s="55"/>
      <c r="BN44" s="55"/>
    </row>
    <row r="45" spans="1:66" ht="16.2" customHeight="1" x14ac:dyDescent="0.4">
      <c r="A45" s="792"/>
      <c r="B45" s="565"/>
      <c r="C45" s="566" t="str">
        <f>BS_Quarterly!C45</f>
        <v>자본금</v>
      </c>
      <c r="D45" s="555" t="str">
        <f>BS_Quarterly!D45</f>
        <v>Issued Capital</v>
      </c>
      <c r="E45" s="550">
        <v>6047.3077000000003</v>
      </c>
      <c r="F45" s="550">
        <v>6197.3077000000003</v>
      </c>
      <c r="G45" s="789">
        <f t="shared" si="14"/>
        <v>2.4804426604586371E-2</v>
      </c>
      <c r="H45" s="550">
        <v>6436.4380000000001</v>
      </c>
      <c r="I45" s="789">
        <f t="shared" si="1"/>
        <v>3.8586158954153627E-2</v>
      </c>
      <c r="J45" s="550">
        <v>6470.9168</v>
      </c>
      <c r="K45" s="789">
        <f t="shared" si="2"/>
        <v>5.3568138153432532E-3</v>
      </c>
      <c r="L45" s="550">
        <v>6471.6863999999996</v>
      </c>
      <c r="M45" s="789">
        <f t="shared" si="3"/>
        <v>1.18932142660233E-4</v>
      </c>
      <c r="N45" s="550">
        <v>6477.6701999999996</v>
      </c>
      <c r="O45" s="789">
        <f t="shared" si="4"/>
        <v>9.246121690940079E-4</v>
      </c>
      <c r="P45" s="550">
        <v>6477.6701999999996</v>
      </c>
      <c r="Q45" s="789">
        <f t="shared" si="4"/>
        <v>0</v>
      </c>
      <c r="R45" s="550">
        <v>6628.2842000000001</v>
      </c>
      <c r="S45" s="789">
        <f t="shared" si="5"/>
        <v>2.3251260924028072E-2</v>
      </c>
      <c r="T45" s="55"/>
      <c r="U45" s="55"/>
      <c r="V45" s="136"/>
      <c r="W45" s="55"/>
      <c r="X45" s="55"/>
      <c r="Y45" s="136"/>
      <c r="Z45" s="55"/>
      <c r="AA45" s="55"/>
      <c r="AB45" s="136"/>
      <c r="AC45" s="55"/>
      <c r="AD45" s="55"/>
      <c r="AE45" s="136"/>
      <c r="AF45" s="55"/>
      <c r="AG45" s="55"/>
      <c r="AH45" s="136"/>
      <c r="AI45" s="55"/>
      <c r="AJ45" s="55"/>
      <c r="AK45" s="136"/>
      <c r="AL45" s="55"/>
      <c r="AM45" s="55"/>
      <c r="AN45" s="136"/>
      <c r="AO45" s="55"/>
      <c r="AP45" s="55"/>
      <c r="AQ45" s="136"/>
      <c r="AR45" s="55"/>
      <c r="AS45" s="55"/>
      <c r="AT45" s="136"/>
      <c r="AU45" s="55"/>
      <c r="AV45" s="55"/>
      <c r="AW45" s="136"/>
      <c r="AX45" s="55"/>
      <c r="AY45" s="55"/>
      <c r="AZ45" s="136"/>
      <c r="BA45" s="55"/>
      <c r="BB45" s="55"/>
      <c r="BC45" s="136"/>
      <c r="BD45" s="55"/>
      <c r="BE45" s="55"/>
      <c r="BF45" s="136"/>
      <c r="BG45" s="55"/>
      <c r="BH45" s="55"/>
      <c r="BI45" s="136"/>
      <c r="BJ45" s="55"/>
      <c r="BK45" s="55"/>
      <c r="BL45" s="136"/>
      <c r="BM45" s="55"/>
      <c r="BN45" s="55"/>
    </row>
    <row r="46" spans="1:66" ht="16.2" customHeight="1" x14ac:dyDescent="0.4">
      <c r="A46" s="793"/>
      <c r="B46" s="565"/>
      <c r="C46" s="566" t="str">
        <f>BS_Quarterly!C46</f>
        <v>자본잉여금</v>
      </c>
      <c r="D46" s="555" t="str">
        <f>BS_Quarterly!D46</f>
        <v>Capital Surplus</v>
      </c>
      <c r="E46" s="550">
        <v>17858.287918999999</v>
      </c>
      <c r="F46" s="550">
        <v>19185.934646000002</v>
      </c>
      <c r="G46" s="789">
        <f t="shared" si="14"/>
        <v>7.434344955248906E-2</v>
      </c>
      <c r="H46" s="550">
        <v>23487.973190000001</v>
      </c>
      <c r="I46" s="789">
        <f t="shared" si="1"/>
        <v>0.22422877088747484</v>
      </c>
      <c r="J46" s="550">
        <v>24108.258978000002</v>
      </c>
      <c r="K46" s="789">
        <f t="shared" si="2"/>
        <v>2.6408655314034801E-2</v>
      </c>
      <c r="L46" s="550">
        <v>24122.104353999999</v>
      </c>
      <c r="M46" s="789">
        <f t="shared" si="3"/>
        <v>5.74300119001947E-4</v>
      </c>
      <c r="N46" s="550">
        <v>24229.755029</v>
      </c>
      <c r="O46" s="789">
        <f t="shared" si="4"/>
        <v>4.4627397933525437E-3</v>
      </c>
      <c r="P46" s="550">
        <v>24229.755029</v>
      </c>
      <c r="Q46" s="789">
        <f t="shared" si="4"/>
        <v>0</v>
      </c>
      <c r="R46" s="550">
        <v>106314.385029</v>
      </c>
      <c r="S46" s="789">
        <f t="shared" si="5"/>
        <v>3.3877614487540182</v>
      </c>
      <c r="T46" s="55"/>
      <c r="U46" s="55"/>
      <c r="V46" s="136"/>
      <c r="W46" s="55"/>
      <c r="X46" s="55"/>
      <c r="Y46" s="136"/>
      <c r="Z46" s="55"/>
      <c r="AA46" s="55"/>
      <c r="AB46" s="136"/>
      <c r="AC46" s="55"/>
      <c r="AD46" s="55"/>
      <c r="AE46" s="136"/>
      <c r="AF46" s="55"/>
      <c r="AG46" s="55"/>
      <c r="AH46" s="136"/>
      <c r="AI46" s="55"/>
      <c r="AJ46" s="55"/>
      <c r="AK46" s="136"/>
      <c r="AL46" s="55"/>
      <c r="AM46" s="55"/>
      <c r="AN46" s="136"/>
      <c r="AO46" s="55"/>
      <c r="AP46" s="55"/>
      <c r="AQ46" s="136"/>
      <c r="AR46" s="55"/>
      <c r="AS46" s="55"/>
      <c r="AT46" s="136"/>
      <c r="AU46" s="55"/>
      <c r="AV46" s="55"/>
      <c r="AW46" s="136"/>
      <c r="AX46" s="55"/>
      <c r="AY46" s="55"/>
      <c r="AZ46" s="136"/>
      <c r="BA46" s="55"/>
      <c r="BB46" s="55"/>
      <c r="BC46" s="136"/>
      <c r="BD46" s="55"/>
      <c r="BE46" s="55"/>
      <c r="BF46" s="136"/>
      <c r="BG46" s="55"/>
      <c r="BH46" s="55"/>
      <c r="BI46" s="136"/>
      <c r="BJ46" s="55"/>
      <c r="BK46" s="55"/>
      <c r="BL46" s="136"/>
      <c r="BM46" s="55"/>
      <c r="BN46" s="55"/>
    </row>
    <row r="47" spans="1:66" ht="16.2" customHeight="1" x14ac:dyDescent="0.4">
      <c r="A47" s="792"/>
      <c r="B47" s="565"/>
      <c r="C47" s="566" t="str">
        <f>BS_Quarterly!C47</f>
        <v>자본조정</v>
      </c>
      <c r="D47" s="555" t="str">
        <f>BS_Quarterly!D47</f>
        <v>Capital Adjustments</v>
      </c>
      <c r="E47" s="550">
        <v>109.315252</v>
      </c>
      <c r="F47" s="550">
        <v>213.68881300000001</v>
      </c>
      <c r="G47" s="789">
        <f t="shared" si="14"/>
        <v>0.95479413064885033</v>
      </c>
      <c r="H47" s="550">
        <v>33.000321</v>
      </c>
      <c r="I47" s="789">
        <f t="shared" si="1"/>
        <v>-0.84556832649915092</v>
      </c>
      <c r="J47" s="550">
        <v>5.4051049999999998</v>
      </c>
      <c r="K47" s="789">
        <f t="shared" si="2"/>
        <v>-0.83621053261875844</v>
      </c>
      <c r="L47" s="550">
        <v>4.7891529999999998</v>
      </c>
      <c r="M47" s="789">
        <f t="shared" si="3"/>
        <v>-0.1139574531854608</v>
      </c>
      <c r="N47" s="550">
        <v>-5421.9760999999999</v>
      </c>
      <c r="O47" s="789">
        <f t="shared" si="4"/>
        <v>-1133.1367473538642</v>
      </c>
      <c r="P47" s="550">
        <v>-18253.885541</v>
      </c>
      <c r="Q47" s="789">
        <f t="shared" si="4"/>
        <v>2.3666481010493574</v>
      </c>
      <c r="R47" s="550">
        <v>4814.6642250000004</v>
      </c>
      <c r="S47" s="789">
        <f t="shared" si="5"/>
        <v>-1.2637610614017381</v>
      </c>
      <c r="T47" s="55"/>
      <c r="U47" s="55"/>
      <c r="V47" s="136"/>
      <c r="W47" s="55"/>
      <c r="X47" s="55"/>
      <c r="Y47" s="136"/>
      <c r="Z47" s="55"/>
      <c r="AA47" s="55"/>
      <c r="AB47" s="136"/>
      <c r="AC47" s="55"/>
      <c r="AD47" s="55"/>
      <c r="AE47" s="136"/>
      <c r="AF47" s="55"/>
      <c r="AG47" s="55"/>
      <c r="AH47" s="136"/>
      <c r="AI47" s="55"/>
      <c r="AJ47" s="55"/>
      <c r="AK47" s="136"/>
      <c r="AL47" s="55"/>
      <c r="AM47" s="55"/>
      <c r="AN47" s="136"/>
      <c r="AO47" s="55"/>
      <c r="AP47" s="55"/>
      <c r="AQ47" s="136"/>
      <c r="AR47" s="55"/>
      <c r="AS47" s="55"/>
      <c r="AT47" s="136"/>
      <c r="AU47" s="55"/>
      <c r="AV47" s="55"/>
      <c r="AW47" s="136"/>
      <c r="AX47" s="55"/>
      <c r="AY47" s="55"/>
      <c r="AZ47" s="136"/>
      <c r="BA47" s="55"/>
      <c r="BB47" s="55"/>
      <c r="BC47" s="136"/>
      <c r="BD47" s="55"/>
      <c r="BE47" s="55"/>
      <c r="BF47" s="136"/>
      <c r="BG47" s="55"/>
      <c r="BH47" s="55"/>
      <c r="BI47" s="136"/>
      <c r="BJ47" s="55"/>
      <c r="BK47" s="55"/>
      <c r="BL47" s="136"/>
      <c r="BM47" s="55"/>
      <c r="BN47" s="55"/>
    </row>
    <row r="48" spans="1:66" ht="16.2" customHeight="1" x14ac:dyDescent="0.4">
      <c r="A48" s="491"/>
      <c r="B48" s="565"/>
      <c r="C48" s="566" t="str">
        <f>BS_Quarterly!C48</f>
        <v>기타포괄손익누계액</v>
      </c>
      <c r="D48" s="556" t="str">
        <f>BS_Quarterly!D48</f>
        <v xml:space="preserve">Accumulated Other Comprehensive Income </v>
      </c>
      <c r="E48" s="550">
        <v>-14.719715000000001</v>
      </c>
      <c r="F48" s="550">
        <v>-24.396335000000001</v>
      </c>
      <c r="G48" s="789">
        <f t="shared" si="14"/>
        <v>0.65739180412120746</v>
      </c>
      <c r="H48" s="550">
        <v>-37.639963999999999</v>
      </c>
      <c r="I48" s="789">
        <f t="shared" si="1"/>
        <v>0.54285321955121524</v>
      </c>
      <c r="J48" s="550">
        <v>-28.567205999999999</v>
      </c>
      <c r="K48" s="789">
        <f t="shared" si="2"/>
        <v>-0.24104055997503082</v>
      </c>
      <c r="L48" s="550">
        <v>22.859175</v>
      </c>
      <c r="M48" s="789">
        <f t="shared" si="3"/>
        <v>-1.8001893849892077</v>
      </c>
      <c r="N48" s="550">
        <v>38.081536999999997</v>
      </c>
      <c r="O48" s="789">
        <f t="shared" si="4"/>
        <v>0.66591913312707018</v>
      </c>
      <c r="P48" s="550">
        <v>62.881940999999998</v>
      </c>
      <c r="Q48" s="789">
        <f t="shared" si="4"/>
        <v>0.65124482764443048</v>
      </c>
      <c r="R48" s="550">
        <v>148.00737699999999</v>
      </c>
      <c r="S48" s="789">
        <f t="shared" si="5"/>
        <v>1.3537342303094619</v>
      </c>
      <c r="T48" s="55"/>
      <c r="U48" s="55"/>
      <c r="V48" s="136"/>
      <c r="W48" s="55"/>
      <c r="X48" s="55"/>
      <c r="Y48" s="136"/>
      <c r="Z48" s="55"/>
      <c r="AA48" s="55"/>
      <c r="AB48" s="136"/>
      <c r="AC48" s="55"/>
      <c r="AD48" s="55"/>
      <c r="AE48" s="136"/>
      <c r="AF48" s="55"/>
      <c r="AG48" s="55"/>
      <c r="AH48" s="136"/>
      <c r="AI48" s="55"/>
      <c r="AJ48" s="55"/>
      <c r="AK48" s="136"/>
      <c r="AL48" s="55"/>
      <c r="AM48" s="55"/>
      <c r="AN48" s="136"/>
      <c r="AO48" s="55"/>
      <c r="AP48" s="55"/>
      <c r="AQ48" s="136"/>
      <c r="AR48" s="55"/>
      <c r="AS48" s="55"/>
      <c r="AT48" s="136"/>
      <c r="AU48" s="55"/>
      <c r="AV48" s="55"/>
      <c r="AW48" s="136"/>
      <c r="AX48" s="55"/>
      <c r="AY48" s="55"/>
      <c r="AZ48" s="136"/>
      <c r="BA48" s="55"/>
      <c r="BB48" s="55"/>
      <c r="BC48" s="136"/>
      <c r="BD48" s="55"/>
      <c r="BE48" s="55"/>
      <c r="BF48" s="136"/>
      <c r="BG48" s="55"/>
      <c r="BH48" s="55"/>
      <c r="BI48" s="136"/>
      <c r="BJ48" s="55"/>
      <c r="BK48" s="55"/>
      <c r="BL48" s="136"/>
      <c r="BM48" s="55"/>
      <c r="BN48" s="55"/>
    </row>
    <row r="49" spans="1:66" ht="16.2" customHeight="1" x14ac:dyDescent="0.4">
      <c r="A49" s="491"/>
      <c r="B49" s="565"/>
      <c r="C49" s="566" t="str">
        <f>BS_Quarterly!C49</f>
        <v>이익잉여금</v>
      </c>
      <c r="D49" s="555" t="str">
        <f>BS_Quarterly!D49</f>
        <v>Retained Earnings</v>
      </c>
      <c r="E49" s="550">
        <v>11091.768583999999</v>
      </c>
      <c r="F49" s="550">
        <v>25470.489287</v>
      </c>
      <c r="G49" s="789">
        <f t="shared" si="14"/>
        <v>1.2963415702470988</v>
      </c>
      <c r="H49" s="550">
        <v>57996.804024999998</v>
      </c>
      <c r="I49" s="789">
        <f t="shared" si="1"/>
        <v>1.2770196273615069</v>
      </c>
      <c r="J49" s="550">
        <v>93200.865967999998</v>
      </c>
      <c r="K49" s="789">
        <f t="shared" si="2"/>
        <v>0.60700003275740855</v>
      </c>
      <c r="L49" s="550">
        <v>133122.99226999999</v>
      </c>
      <c r="M49" s="789">
        <f t="shared" si="3"/>
        <v>0.42834501468802899</v>
      </c>
      <c r="N49" s="550">
        <v>204230.32649400001</v>
      </c>
      <c r="O49" s="789">
        <f t="shared" si="4"/>
        <v>0.53414765557387822</v>
      </c>
      <c r="P49" s="550">
        <v>270984.07803400001</v>
      </c>
      <c r="Q49" s="789">
        <f t="shared" si="4"/>
        <v>0.32685523587977583</v>
      </c>
      <c r="R49" s="550">
        <v>336059.467641</v>
      </c>
      <c r="S49" s="789">
        <f t="shared" si="5"/>
        <v>0.24014469809121053</v>
      </c>
      <c r="T49" s="55"/>
      <c r="U49" s="55"/>
      <c r="V49" s="136"/>
      <c r="W49" s="55"/>
      <c r="X49" s="55"/>
      <c r="Y49" s="136"/>
      <c r="Z49" s="55"/>
      <c r="AA49" s="55"/>
      <c r="AB49" s="136"/>
      <c r="AC49" s="55"/>
      <c r="AD49" s="55"/>
      <c r="AE49" s="136"/>
      <c r="AF49" s="55"/>
      <c r="AG49" s="55"/>
      <c r="AH49" s="136"/>
      <c r="AI49" s="55"/>
      <c r="AJ49" s="55"/>
      <c r="AK49" s="136"/>
      <c r="AL49" s="55"/>
      <c r="AM49" s="55"/>
      <c r="AN49" s="136"/>
      <c r="AO49" s="55"/>
      <c r="AP49" s="55"/>
      <c r="AQ49" s="136"/>
      <c r="AR49" s="55"/>
      <c r="AS49" s="55"/>
      <c r="AT49" s="136"/>
      <c r="AU49" s="55"/>
      <c r="AV49" s="55"/>
      <c r="AW49" s="136"/>
      <c r="AX49" s="55"/>
      <c r="AY49" s="55"/>
      <c r="AZ49" s="136"/>
      <c r="BA49" s="55"/>
      <c r="BB49" s="55"/>
      <c r="BC49" s="136"/>
      <c r="BD49" s="55"/>
      <c r="BE49" s="55"/>
      <c r="BF49" s="136"/>
      <c r="BG49" s="55"/>
      <c r="BH49" s="55"/>
      <c r="BI49" s="136"/>
      <c r="BJ49" s="55"/>
      <c r="BK49" s="55"/>
      <c r="BL49" s="136"/>
      <c r="BM49" s="55"/>
      <c r="BN49" s="55"/>
    </row>
    <row r="50" spans="1:66" s="21" customFormat="1" ht="16.2" customHeight="1" x14ac:dyDescent="0.4">
      <c r="A50" s="792"/>
      <c r="B50" s="563" t="str">
        <f>BS_Quarterly!B50</f>
        <v>　비지배지분</v>
      </c>
      <c r="C50" s="564"/>
      <c r="D50" s="554" t="str">
        <f>BS_Quarterly!D50</f>
        <v>Non-Controlling Interests</v>
      </c>
      <c r="E50" s="547">
        <v>0</v>
      </c>
      <c r="F50" s="547">
        <v>0</v>
      </c>
      <c r="G50" s="790">
        <f t="shared" si="14"/>
        <v>0</v>
      </c>
      <c r="H50" s="547">
        <v>0</v>
      </c>
      <c r="I50" s="790">
        <f t="shared" si="1"/>
        <v>0</v>
      </c>
      <c r="J50" s="547">
        <v>0</v>
      </c>
      <c r="K50" s="790">
        <f t="shared" si="2"/>
        <v>0</v>
      </c>
      <c r="L50" s="547">
        <v>0</v>
      </c>
      <c r="M50" s="790">
        <f t="shared" si="3"/>
        <v>0</v>
      </c>
      <c r="N50" s="547">
        <v>0</v>
      </c>
      <c r="O50" s="790">
        <f t="shared" si="4"/>
        <v>0</v>
      </c>
      <c r="P50" s="547">
        <v>0</v>
      </c>
      <c r="Q50" s="790">
        <f t="shared" si="4"/>
        <v>0</v>
      </c>
      <c r="R50" s="547">
        <v>-1320.893714</v>
      </c>
      <c r="S50" s="790">
        <f t="shared" si="5"/>
        <v>0</v>
      </c>
      <c r="T50" s="55"/>
      <c r="U50" s="55"/>
      <c r="V50" s="135"/>
      <c r="W50" s="137"/>
      <c r="X50" s="137"/>
      <c r="Y50" s="135"/>
      <c r="Z50" s="137"/>
      <c r="AA50" s="137"/>
      <c r="AB50" s="135"/>
      <c r="AC50" s="137"/>
      <c r="AD50" s="137"/>
      <c r="AE50" s="135"/>
      <c r="AF50" s="137"/>
      <c r="AG50" s="137"/>
      <c r="AH50" s="135"/>
      <c r="AI50" s="137"/>
      <c r="AJ50" s="137"/>
      <c r="AK50" s="135"/>
      <c r="AL50" s="137"/>
      <c r="AM50" s="137"/>
      <c r="AN50" s="135"/>
      <c r="AO50" s="137"/>
      <c r="AP50" s="137"/>
      <c r="AQ50" s="135"/>
      <c r="AR50" s="137"/>
      <c r="AS50" s="137"/>
      <c r="AT50" s="135"/>
      <c r="AU50" s="137"/>
      <c r="AV50" s="137"/>
      <c r="AW50" s="135"/>
      <c r="AX50" s="137"/>
      <c r="AY50" s="137"/>
      <c r="AZ50" s="135"/>
      <c r="BA50" s="137"/>
      <c r="BB50" s="137"/>
      <c r="BC50" s="135"/>
      <c r="BD50" s="137"/>
      <c r="BE50" s="137"/>
      <c r="BF50" s="135"/>
      <c r="BG50" s="137"/>
      <c r="BH50" s="137"/>
      <c r="BI50" s="135"/>
      <c r="BJ50" s="137"/>
      <c r="BK50" s="137"/>
      <c r="BL50" s="135"/>
      <c r="BM50" s="137"/>
      <c r="BN50" s="137"/>
    </row>
    <row r="51" spans="1:66" s="21" customFormat="1" ht="16.2" customHeight="1" x14ac:dyDescent="0.4">
      <c r="A51" s="491"/>
      <c r="B51" s="567" t="str">
        <f>BS_Quarterly!B51</f>
        <v>자본과부채총계</v>
      </c>
      <c r="C51" s="568"/>
      <c r="D51" s="558" t="str">
        <f>BS_Quarterly!D51</f>
        <v>Total Liabilities and Equity</v>
      </c>
      <c r="E51" s="551">
        <f>E25+E43</f>
        <v>63161.122771999995</v>
      </c>
      <c r="F51" s="551">
        <v>75677.204371</v>
      </c>
      <c r="G51" s="791">
        <f t="shared" si="14"/>
        <v>0.1981611638567724</v>
      </c>
      <c r="H51" s="551">
        <v>113657.441301</v>
      </c>
      <c r="I51" s="791">
        <f t="shared" si="1"/>
        <v>0.50187156417414225</v>
      </c>
      <c r="J51" s="551">
        <v>137526.11636800002</v>
      </c>
      <c r="K51" s="791">
        <f t="shared" si="2"/>
        <v>0.21000538806595515</v>
      </c>
      <c r="L51" s="551">
        <v>216379.20533599998</v>
      </c>
      <c r="M51" s="791">
        <f t="shared" si="3"/>
        <v>0.57336810673109162</v>
      </c>
      <c r="N51" s="551">
        <v>331411.10829900001</v>
      </c>
      <c r="O51" s="791">
        <f t="shared" si="4"/>
        <v>0.5316218015699572</v>
      </c>
      <c r="P51" s="551">
        <v>375443.02175399999</v>
      </c>
      <c r="Q51" s="791">
        <f t="shared" si="4"/>
        <v>0.13286191184416873</v>
      </c>
      <c r="R51" s="551">
        <v>608378.808831</v>
      </c>
      <c r="S51" s="791">
        <f t="shared" si="5"/>
        <v>0.62042912926911598</v>
      </c>
      <c r="T51" s="55"/>
      <c r="U51" s="55"/>
      <c r="V51" s="135"/>
      <c r="W51" s="55"/>
      <c r="X51" s="55"/>
      <c r="Y51" s="135"/>
      <c r="Z51" s="55"/>
      <c r="AA51" s="55"/>
      <c r="AB51" s="135"/>
      <c r="AC51" s="55"/>
      <c r="AD51" s="55"/>
      <c r="AE51" s="135"/>
      <c r="AF51" s="55"/>
      <c r="AG51" s="55"/>
      <c r="AH51" s="135"/>
      <c r="AI51" s="55"/>
      <c r="AJ51" s="55"/>
      <c r="AK51" s="135"/>
      <c r="AL51" s="55"/>
      <c r="AM51" s="55"/>
      <c r="AN51" s="135"/>
      <c r="AO51" s="55"/>
      <c r="AP51" s="55"/>
      <c r="AQ51" s="135"/>
      <c r="AR51" s="55"/>
      <c r="AS51" s="55"/>
      <c r="AT51" s="135"/>
      <c r="AU51" s="55"/>
      <c r="AV51" s="55"/>
      <c r="AW51" s="135"/>
      <c r="AX51" s="55"/>
      <c r="AY51" s="55"/>
      <c r="AZ51" s="135"/>
      <c r="BA51" s="55"/>
      <c r="BB51" s="55"/>
      <c r="BC51" s="135"/>
      <c r="BD51" s="55"/>
      <c r="BE51" s="55"/>
      <c r="BF51" s="135"/>
      <c r="BG51" s="55"/>
      <c r="BH51" s="55"/>
      <c r="BI51" s="135"/>
      <c r="BJ51" s="55"/>
      <c r="BK51" s="55"/>
      <c r="BL51" s="135"/>
      <c r="BM51" s="55"/>
      <c r="BN51" s="55"/>
    </row>
    <row r="52" spans="1:66" ht="16.2" customHeight="1" x14ac:dyDescent="0.4">
      <c r="E52" s="336" t="b">
        <f>ROUND(E51,0)=ROUND(E3,0)</f>
        <v>1</v>
      </c>
      <c r="F52" s="336" t="b">
        <f>ROUND(F51,0)=ROUND(F3,0)</f>
        <v>1</v>
      </c>
      <c r="H52" s="336" t="b">
        <f>ROUND(H51,0)=ROUND(H3,0)</f>
        <v>1</v>
      </c>
      <c r="J52" s="336" t="b">
        <f>ROUND(J51,0)=ROUND(J3,0)</f>
        <v>1</v>
      </c>
      <c r="L52" s="336" t="b">
        <f>ROUND(L51,0)=ROUND(L3,0)</f>
        <v>1</v>
      </c>
      <c r="N52" s="336" t="b">
        <f>ROUND(N51,0)=ROUND(N3,0)</f>
        <v>1</v>
      </c>
      <c r="P52" s="336" t="b">
        <f>ROUND(P51,0)=ROUND(P3,0)</f>
        <v>1</v>
      </c>
      <c r="R52" s="336" t="b">
        <f>ROUND(R51,0)=ROUND(R3,0)</f>
        <v>1</v>
      </c>
      <c r="T52" s="10"/>
      <c r="U52" s="10"/>
      <c r="W52" s="10"/>
      <c r="X52" s="10"/>
      <c r="Z52" s="10"/>
      <c r="AA52" s="10"/>
      <c r="AC52" s="10"/>
      <c r="AD52" s="10"/>
      <c r="AF52" s="10"/>
      <c r="AG52" s="10"/>
      <c r="AI52" s="10"/>
      <c r="AJ52" s="10"/>
      <c r="AL52" s="10"/>
      <c r="AM52" s="10"/>
      <c r="AO52" s="10"/>
      <c r="AP52" s="10"/>
      <c r="AR52" s="10"/>
      <c r="AS52" s="10"/>
      <c r="AU52" s="10"/>
      <c r="AV52" s="10"/>
      <c r="AX52" s="10"/>
      <c r="AY52" s="10"/>
      <c r="BA52" s="10"/>
      <c r="BB52" s="10"/>
      <c r="BD52" s="10"/>
      <c r="BE52" s="10"/>
      <c r="BG52" s="10"/>
      <c r="BH52" s="10"/>
      <c r="BJ52" s="10"/>
      <c r="BK52" s="10"/>
      <c r="BM52" s="10"/>
      <c r="BN52" s="10"/>
    </row>
    <row r="53" spans="1:66" ht="16.95" customHeight="1" x14ac:dyDescent="0.4">
      <c r="A53" s="157"/>
    </row>
    <row r="54" spans="1:66" ht="16.2" customHeight="1" x14ac:dyDescent="0.4">
      <c r="C54" s="11" t="str">
        <f>BS_Quarterly!C54</f>
        <v>(단위: 백만원)</v>
      </c>
      <c r="D54" s="11" t="str">
        <f>BS_Quarterly!D54</f>
        <v>(Unit: Million KRW)</v>
      </c>
      <c r="E54" s="337"/>
      <c r="F54" s="337"/>
      <c r="G54" s="337"/>
      <c r="H54" s="337"/>
      <c r="I54" s="337"/>
      <c r="J54" s="337"/>
      <c r="K54" s="337"/>
      <c r="L54" s="337"/>
      <c r="M54" s="337"/>
      <c r="N54" s="337"/>
      <c r="O54" s="337"/>
      <c r="P54" s="337"/>
      <c r="Q54" s="337"/>
      <c r="R54" s="337"/>
      <c r="S54" s="337"/>
      <c r="T54" s="10"/>
      <c r="U54" s="10"/>
      <c r="V54" s="10"/>
      <c r="W54" s="10"/>
      <c r="X54" s="10"/>
      <c r="Y54" s="10"/>
      <c r="Z54" s="10"/>
      <c r="AA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M54" s="10"/>
      <c r="BN54" s="10"/>
    </row>
    <row r="55" spans="1:66" ht="16.2" customHeight="1" x14ac:dyDescent="0.4">
      <c r="C55" s="801" t="s">
        <v>14</v>
      </c>
      <c r="D55" s="802" t="s">
        <v>15</v>
      </c>
      <c r="E55" s="805">
        <f>ROUND(E10,0)</f>
        <v>5089</v>
      </c>
      <c r="F55" s="805">
        <f>ROUND(F10,0)</f>
        <v>5907</v>
      </c>
      <c r="G55" s="806">
        <f t="shared" ref="G55:G61" si="15">IFERROR(F55/E55-1,0)</f>
        <v>0.16073884849675779</v>
      </c>
      <c r="H55" s="805">
        <f>ROUND(H10,0)</f>
        <v>8723</v>
      </c>
      <c r="I55" s="806">
        <f t="shared" ref="I55:S61" si="16">IFERROR(H55/F55-1,0)</f>
        <v>0.47672253258845432</v>
      </c>
      <c r="J55" s="805">
        <f>ROUND(J10,0)</f>
        <v>9940</v>
      </c>
      <c r="K55" s="806">
        <f t="shared" si="16"/>
        <v>0.13951622148343468</v>
      </c>
      <c r="L55" s="805">
        <f>ROUND(L10,0)</f>
        <v>16465</v>
      </c>
      <c r="M55" s="806">
        <f t="shared" si="16"/>
        <v>0.65643863179074446</v>
      </c>
      <c r="N55" s="805">
        <f>ROUND(N10,0)</f>
        <v>23398</v>
      </c>
      <c r="O55" s="806">
        <f t="shared" si="16"/>
        <v>0.42107500759186145</v>
      </c>
      <c r="P55" s="805">
        <f>ROUND(P10,0)</f>
        <v>19434</v>
      </c>
      <c r="Q55" s="806">
        <f t="shared" si="16"/>
        <v>-0.16941618941789893</v>
      </c>
      <c r="R55" s="805">
        <f>ROUND(R10,0)</f>
        <v>30000</v>
      </c>
      <c r="S55" s="806">
        <f t="shared" si="16"/>
        <v>0.54368632293917885</v>
      </c>
      <c r="T55" s="10"/>
      <c r="U55" s="10"/>
      <c r="V55" s="10"/>
      <c r="W55" s="10"/>
      <c r="X55" s="10"/>
      <c r="Y55" s="10"/>
      <c r="Z55" s="10"/>
      <c r="AA55" s="10"/>
      <c r="AB55" s="138"/>
      <c r="AC55" s="13"/>
      <c r="AD55" s="13"/>
      <c r="AE55" s="10"/>
      <c r="AF55" s="10"/>
      <c r="AG55" s="10"/>
      <c r="AH55" s="10"/>
      <c r="AI55" s="10"/>
      <c r="AJ55" s="10"/>
      <c r="AK55" s="10"/>
      <c r="AL55" s="10"/>
      <c r="AM55" s="10"/>
      <c r="AN55" s="138"/>
      <c r="AO55" s="13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38"/>
      <c r="BA55" s="13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38"/>
      <c r="BM55" s="10"/>
      <c r="BN55" s="10"/>
    </row>
    <row r="56" spans="1:66" ht="16.2" customHeight="1" x14ac:dyDescent="0.4">
      <c r="A56" s="157"/>
      <c r="C56" s="799" t="s">
        <v>29</v>
      </c>
      <c r="D56" s="798" t="s">
        <v>71</v>
      </c>
      <c r="E56" s="808">
        <v>2180.9940000000001</v>
      </c>
      <c r="F56" s="808">
        <v>2599.6489999999999</v>
      </c>
      <c r="G56" s="349">
        <f t="shared" si="15"/>
        <v>0.19195605306571206</v>
      </c>
      <c r="H56" s="808">
        <v>3171.5509999999999</v>
      </c>
      <c r="I56" s="349">
        <f t="shared" si="16"/>
        <v>0.2199920066132004</v>
      </c>
      <c r="J56" s="808">
        <v>2536.692</v>
      </c>
      <c r="K56" s="349">
        <f t="shared" si="16"/>
        <v>-0.20017303836514055</v>
      </c>
      <c r="L56" s="808">
        <v>4604.2659999999996</v>
      </c>
      <c r="M56" s="349">
        <f t="shared" si="16"/>
        <v>0.81506702429778599</v>
      </c>
      <c r="N56" s="808">
        <v>5738.9257939999998</v>
      </c>
      <c r="O56" s="349">
        <f t="shared" si="16"/>
        <v>0.24643662942149747</v>
      </c>
      <c r="P56" s="808">
        <v>5871.0150000000003</v>
      </c>
      <c r="Q56" s="349">
        <f t="shared" si="16"/>
        <v>2.3016364166635217E-2</v>
      </c>
      <c r="R56" s="808">
        <f>BS_Quarterly!BZ56</f>
        <v>11507.050241999999</v>
      </c>
      <c r="S56" s="349">
        <f t="shared" si="16"/>
        <v>0.9599762974545285</v>
      </c>
      <c r="T56" s="10"/>
      <c r="U56" s="10"/>
      <c r="V56" s="10"/>
      <c r="W56" s="10"/>
      <c r="X56" s="10"/>
      <c r="Y56" s="10"/>
      <c r="Z56" s="10"/>
      <c r="AA56" s="10"/>
      <c r="AB56" s="38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38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38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38"/>
      <c r="BM56" s="10"/>
      <c r="BN56" s="10"/>
    </row>
    <row r="57" spans="1:66" ht="16.2" customHeight="1" x14ac:dyDescent="0.4">
      <c r="A57" s="161"/>
      <c r="C57" s="799" t="s">
        <v>30</v>
      </c>
      <c r="D57" s="798" t="s">
        <v>72</v>
      </c>
      <c r="E57" s="808">
        <v>388.30200000000002</v>
      </c>
      <c r="F57" s="808">
        <v>483.20699999999999</v>
      </c>
      <c r="G57" s="349">
        <f t="shared" si="15"/>
        <v>0.24441027859758635</v>
      </c>
      <c r="H57" s="808">
        <v>846.61</v>
      </c>
      <c r="I57" s="349">
        <f t="shared" si="16"/>
        <v>0.75206485005391066</v>
      </c>
      <c r="J57" s="808">
        <v>916.61900000000003</v>
      </c>
      <c r="K57" s="349">
        <f t="shared" si="16"/>
        <v>8.2693329868534615E-2</v>
      </c>
      <c r="L57" s="808">
        <v>1830.5260000000001</v>
      </c>
      <c r="M57" s="349">
        <f t="shared" si="16"/>
        <v>0.99704130069309049</v>
      </c>
      <c r="N57" s="808">
        <v>3045.7473890000001</v>
      </c>
      <c r="O57" s="349">
        <f t="shared" si="16"/>
        <v>0.66386458810199911</v>
      </c>
      <c r="P57" s="808">
        <v>2695.67</v>
      </c>
      <c r="Q57" s="349">
        <f t="shared" si="16"/>
        <v>-0.11493973212103448</v>
      </c>
      <c r="R57" s="808">
        <f>BS_Quarterly!BZ57</f>
        <v>4049.4464800000001</v>
      </c>
      <c r="S57" s="349">
        <f t="shared" si="16"/>
        <v>0.50220408284396822</v>
      </c>
      <c r="T57" s="10"/>
      <c r="U57" s="10"/>
      <c r="V57" s="10"/>
      <c r="W57" s="10"/>
      <c r="X57" s="10"/>
      <c r="Y57" s="10"/>
      <c r="Z57" s="10"/>
      <c r="AA57" s="10"/>
      <c r="AB57" s="38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38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38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38"/>
      <c r="BM57" s="10"/>
      <c r="BN57" s="10"/>
    </row>
    <row r="58" spans="1:66" ht="16.2" customHeight="1" x14ac:dyDescent="0.4">
      <c r="C58" s="799" t="s">
        <v>31</v>
      </c>
      <c r="D58" s="798" t="s">
        <v>32</v>
      </c>
      <c r="E58" s="808">
        <v>2436.2379999999998</v>
      </c>
      <c r="F58" s="808">
        <v>2819.4760000000001</v>
      </c>
      <c r="G58" s="349">
        <f t="shared" si="15"/>
        <v>0.15730729099537899</v>
      </c>
      <c r="H58" s="808">
        <v>4699.8729999999996</v>
      </c>
      <c r="I58" s="349">
        <f t="shared" si="16"/>
        <v>0.66693137306364703</v>
      </c>
      <c r="J58" s="808">
        <v>6486.9840000000004</v>
      </c>
      <c r="K58" s="349">
        <f t="shared" si="16"/>
        <v>0.38024665772883681</v>
      </c>
      <c r="L58" s="808">
        <v>10030.572</v>
      </c>
      <c r="M58" s="349">
        <f t="shared" si="16"/>
        <v>0.54626125176198981</v>
      </c>
      <c r="N58" s="808">
        <v>14612.993802999999</v>
      </c>
      <c r="O58" s="349">
        <f t="shared" si="16"/>
        <v>0.45684551220010183</v>
      </c>
      <c r="P58" s="808">
        <v>10867.643</v>
      </c>
      <c r="Q58" s="349">
        <f t="shared" si="16"/>
        <v>-0.25630277091003018</v>
      </c>
      <c r="R58" s="808">
        <f>BS_Quarterly!BZ58</f>
        <v>12932.859044000001</v>
      </c>
      <c r="S58" s="349">
        <f t="shared" si="16"/>
        <v>0.19003348232914918</v>
      </c>
      <c r="T58" s="10"/>
      <c r="U58" s="10"/>
      <c r="V58" s="10"/>
      <c r="W58" s="10"/>
      <c r="X58" s="10"/>
      <c r="Y58" s="10"/>
      <c r="Z58" s="10"/>
      <c r="AA58" s="10"/>
      <c r="AB58" s="38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38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38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38"/>
      <c r="BM58" s="10"/>
      <c r="BN58" s="10"/>
    </row>
    <row r="59" spans="1:66" ht="16.2" customHeight="1" x14ac:dyDescent="0.4">
      <c r="C59" s="799" t="s">
        <v>33</v>
      </c>
      <c r="D59" s="798" t="s">
        <v>34</v>
      </c>
      <c r="E59" s="808">
        <v>83.638000000000005</v>
      </c>
      <c r="F59" s="808">
        <v>4.2709999999999999</v>
      </c>
      <c r="G59" s="349">
        <f t="shared" si="15"/>
        <v>-0.94893469475597214</v>
      </c>
      <c r="H59" s="808">
        <v>4.7</v>
      </c>
      <c r="I59" s="349">
        <f t="shared" si="16"/>
        <v>0.10044486068836345</v>
      </c>
      <c r="J59" s="808">
        <v>0</v>
      </c>
      <c r="K59" s="349">
        <f t="shared" si="16"/>
        <v>-1</v>
      </c>
      <c r="L59" s="808">
        <v>0</v>
      </c>
      <c r="M59" s="349">
        <f t="shared" si="16"/>
        <v>0</v>
      </c>
      <c r="N59" s="808">
        <v>0</v>
      </c>
      <c r="O59" s="349">
        <f t="shared" si="16"/>
        <v>0</v>
      </c>
      <c r="P59" s="808">
        <v>0</v>
      </c>
      <c r="Q59" s="349">
        <f t="shared" si="16"/>
        <v>0</v>
      </c>
      <c r="R59" s="808">
        <f>BS_Quarterly!BZ59</f>
        <v>1344.6260520000001</v>
      </c>
      <c r="S59" s="349">
        <f t="shared" si="16"/>
        <v>0</v>
      </c>
      <c r="T59" s="10"/>
      <c r="U59" s="10"/>
      <c r="V59" s="10"/>
      <c r="W59" s="10"/>
      <c r="X59" s="10"/>
      <c r="Y59" s="10"/>
      <c r="Z59" s="10"/>
      <c r="AA59" s="10"/>
      <c r="AB59" s="34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34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34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34"/>
      <c r="BM59" s="10"/>
      <c r="BN59" s="10"/>
    </row>
    <row r="60" spans="1:66" s="38" customFormat="1" ht="16.2" customHeight="1" x14ac:dyDescent="0.4">
      <c r="A60" s="156"/>
      <c r="B60" s="37"/>
      <c r="C60" s="799" t="s">
        <v>186</v>
      </c>
      <c r="D60" s="798" t="s">
        <v>69</v>
      </c>
      <c r="E60" s="808"/>
      <c r="F60" s="808"/>
      <c r="G60" s="349">
        <f t="shared" si="15"/>
        <v>0</v>
      </c>
      <c r="H60" s="808"/>
      <c r="I60" s="349">
        <f t="shared" si="16"/>
        <v>0</v>
      </c>
      <c r="J60" s="808"/>
      <c r="K60" s="349">
        <f t="shared" si="16"/>
        <v>0</v>
      </c>
      <c r="L60" s="808"/>
      <c r="M60" s="349">
        <f t="shared" si="16"/>
        <v>0</v>
      </c>
      <c r="N60" s="808"/>
      <c r="O60" s="349">
        <f t="shared" si="16"/>
        <v>0</v>
      </c>
      <c r="P60" s="808"/>
      <c r="Q60" s="349">
        <f t="shared" si="16"/>
        <v>0</v>
      </c>
      <c r="R60" s="808">
        <f>BS_Quarterly!BZ60</f>
        <v>165.82505</v>
      </c>
      <c r="S60" s="349">
        <f t="shared" si="16"/>
        <v>0</v>
      </c>
      <c r="T60" s="10"/>
      <c r="U60" s="10"/>
      <c r="V60" s="10"/>
      <c r="W60" s="10"/>
      <c r="X60" s="10"/>
      <c r="Y60" s="10"/>
      <c r="Z60" s="10"/>
      <c r="AA60" s="10"/>
      <c r="AC60" s="22"/>
      <c r="AD60" s="22"/>
      <c r="AE60" s="10"/>
      <c r="AF60" s="10"/>
      <c r="AG60" s="10"/>
      <c r="AH60" s="10"/>
      <c r="AI60" s="10"/>
      <c r="AJ60" s="10"/>
      <c r="AK60" s="10"/>
      <c r="AL60" s="10"/>
      <c r="AM60" s="10"/>
      <c r="AO60" s="22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BA60" s="22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M60" s="10"/>
      <c r="BN60" s="10"/>
    </row>
    <row r="61" spans="1:66" ht="16.95" customHeight="1" x14ac:dyDescent="0.4">
      <c r="A61" s="794"/>
      <c r="B61" s="39"/>
      <c r="C61" s="803"/>
      <c r="D61" s="804"/>
      <c r="E61" s="809">
        <f>ROUND(SUM(E56:E59),0)</f>
        <v>5089</v>
      </c>
      <c r="F61" s="809">
        <f>ROUND(SUM(F56:F59),0)</f>
        <v>5907</v>
      </c>
      <c r="G61" s="810">
        <f t="shared" si="15"/>
        <v>0.16073884849675779</v>
      </c>
      <c r="H61" s="809">
        <f>ROUND(SUM(H56:H59),0)</f>
        <v>8723</v>
      </c>
      <c r="I61" s="810">
        <f t="shared" si="16"/>
        <v>0.47672253258845432</v>
      </c>
      <c r="J61" s="809">
        <f>ROUND(SUM(J56:J58),0)</f>
        <v>9940</v>
      </c>
      <c r="K61" s="810">
        <f t="shared" si="16"/>
        <v>0.13951622148343468</v>
      </c>
      <c r="L61" s="809">
        <f>ROUND(SUM(L56:L58),0)</f>
        <v>16465</v>
      </c>
      <c r="M61" s="810">
        <f t="shared" si="16"/>
        <v>0.65643863179074446</v>
      </c>
      <c r="N61" s="809">
        <f>ROUND(SUM(N56:N58),0)</f>
        <v>23398</v>
      </c>
      <c r="O61" s="810">
        <f t="shared" si="16"/>
        <v>0.42107500759186145</v>
      </c>
      <c r="P61" s="809">
        <f>ROUND(SUM(P56:P58),0)</f>
        <v>19434</v>
      </c>
      <c r="Q61" s="810">
        <f t="shared" si="16"/>
        <v>-0.16941618941789893</v>
      </c>
      <c r="R61" s="809">
        <f>BS_Quarterly!BZ61</f>
        <v>30000</v>
      </c>
      <c r="S61" s="810">
        <f t="shared" si="16"/>
        <v>0.54368632293917885</v>
      </c>
    </row>
    <row r="62" spans="1:66" ht="16.95" customHeight="1" x14ac:dyDescent="0.4">
      <c r="C62" s="552"/>
      <c r="D62" s="552"/>
      <c r="E62" s="552" t="b">
        <f>E55=E61</f>
        <v>1</v>
      </c>
      <c r="F62" s="552" t="b">
        <f>F55=F61</f>
        <v>1</v>
      </c>
      <c r="G62" s="337"/>
      <c r="H62" s="552" t="b">
        <f>H55=H61</f>
        <v>1</v>
      </c>
      <c r="I62" s="337"/>
      <c r="J62" s="552" t="b">
        <f>J55=J61</f>
        <v>1</v>
      </c>
      <c r="K62" s="337"/>
      <c r="L62" s="552" t="b">
        <f>L55=L61</f>
        <v>1</v>
      </c>
      <c r="M62" s="337"/>
      <c r="N62" s="552" t="b">
        <f>N55=N61</f>
        <v>1</v>
      </c>
      <c r="O62" s="337"/>
      <c r="P62" s="552" t="b">
        <f>P55=P61</f>
        <v>1</v>
      </c>
      <c r="Q62" s="337"/>
      <c r="R62" s="552" t="b">
        <f>BS_Quarterly!BZ62</f>
        <v>1</v>
      </c>
      <c r="S62" s="337"/>
    </row>
    <row r="63" spans="1:66" ht="16.2" customHeight="1" x14ac:dyDescent="0.4">
      <c r="C63" s="552"/>
      <c r="D63" s="552"/>
      <c r="E63" s="552"/>
      <c r="F63" s="552"/>
      <c r="G63" s="337"/>
      <c r="H63" s="552"/>
      <c r="I63" s="337"/>
      <c r="J63" s="552"/>
      <c r="K63" s="337"/>
      <c r="L63" s="552"/>
      <c r="M63" s="337"/>
      <c r="N63" s="552"/>
      <c r="O63" s="337"/>
      <c r="P63" s="552"/>
      <c r="Q63" s="337"/>
      <c r="R63" s="552"/>
      <c r="S63" s="337"/>
      <c r="T63" s="10"/>
      <c r="U63" s="10"/>
      <c r="V63" s="10"/>
      <c r="W63" s="10"/>
      <c r="X63" s="10"/>
      <c r="Y63" s="10"/>
      <c r="Z63" s="10"/>
      <c r="AA63" s="10"/>
      <c r="AB63" s="38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38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38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38"/>
      <c r="BM63" s="10"/>
      <c r="BN63" s="10"/>
    </row>
    <row r="64" spans="1:66" ht="16.2" customHeight="1" x14ac:dyDescent="0.4">
      <c r="C64" s="801" t="s">
        <v>16</v>
      </c>
      <c r="D64" s="802" t="s">
        <v>17</v>
      </c>
      <c r="E64" s="805">
        <f>ROUND(E12,0)</f>
        <v>826</v>
      </c>
      <c r="F64" s="805">
        <f>ROUND(F12,0)</f>
        <v>1590</v>
      </c>
      <c r="G64" s="806">
        <f t="shared" ref="G64:G68" si="17">IFERROR(F64/E64-1,0)</f>
        <v>0.92493946731234877</v>
      </c>
      <c r="H64" s="805">
        <f>ROUND(H12,0)</f>
        <v>737</v>
      </c>
      <c r="I64" s="806">
        <f t="shared" ref="I64:S68" si="18">IFERROR(H64/F64-1,0)</f>
        <v>-0.53647798742138364</v>
      </c>
      <c r="J64" s="805">
        <f>ROUND(J12,0)</f>
        <v>512</v>
      </c>
      <c r="K64" s="806">
        <f t="shared" si="18"/>
        <v>-0.30529172320217102</v>
      </c>
      <c r="L64" s="805">
        <f>ROUND(L12,0)</f>
        <v>5715</v>
      </c>
      <c r="M64" s="806">
        <f t="shared" si="18"/>
        <v>10.162109375</v>
      </c>
      <c r="N64" s="805">
        <f>ROUND(N12,0)</f>
        <v>2705</v>
      </c>
      <c r="O64" s="806">
        <f t="shared" si="18"/>
        <v>-0.52668416447944</v>
      </c>
      <c r="P64" s="805">
        <f>ROUND(P12,0)</f>
        <v>10277</v>
      </c>
      <c r="Q64" s="806">
        <f t="shared" si="18"/>
        <v>2.7992606284658041</v>
      </c>
      <c r="R64" s="805">
        <f>ROUND(R12,0)</f>
        <v>5609</v>
      </c>
      <c r="S64" s="806">
        <f t="shared" si="18"/>
        <v>-0.45421815704972268</v>
      </c>
      <c r="T64" s="10"/>
      <c r="U64" s="10"/>
      <c r="V64" s="10"/>
      <c r="W64" s="10"/>
      <c r="X64" s="10"/>
      <c r="Y64" s="10"/>
      <c r="Z64" s="10"/>
      <c r="AA64" s="10"/>
      <c r="AB64" s="34"/>
      <c r="AC64" s="13"/>
      <c r="AD64" s="13"/>
      <c r="AE64" s="10"/>
      <c r="AF64" s="10"/>
      <c r="AG64" s="10"/>
      <c r="AH64" s="10"/>
      <c r="AI64" s="10"/>
      <c r="AJ64" s="10"/>
      <c r="AK64" s="10"/>
      <c r="AL64" s="10"/>
      <c r="AM64" s="10"/>
      <c r="AN64" s="34"/>
      <c r="AO64" s="13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34"/>
      <c r="BA64" s="13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34"/>
      <c r="BM64" s="10"/>
      <c r="BN64" s="10"/>
    </row>
    <row r="65" spans="1:66" ht="16.2" customHeight="1" x14ac:dyDescent="0.4">
      <c r="C65" s="799" t="s">
        <v>35</v>
      </c>
      <c r="D65" s="798" t="s">
        <v>76</v>
      </c>
      <c r="E65" s="808">
        <v>716.44</v>
      </c>
      <c r="F65" s="808">
        <v>958.26099999999997</v>
      </c>
      <c r="G65" s="349">
        <f t="shared" si="17"/>
        <v>0.33753140528167025</v>
      </c>
      <c r="H65" s="808">
        <v>654.04999999999995</v>
      </c>
      <c r="I65" s="349">
        <f t="shared" si="18"/>
        <v>-0.31746152666131677</v>
      </c>
      <c r="J65" s="808">
        <v>417.22800000000001</v>
      </c>
      <c r="K65" s="349">
        <f t="shared" si="18"/>
        <v>-0.36208546747190573</v>
      </c>
      <c r="L65" s="808">
        <v>3238.7060000000001</v>
      </c>
      <c r="M65" s="349">
        <f t="shared" si="18"/>
        <v>6.7624368450823056</v>
      </c>
      <c r="N65" s="808">
        <v>2442.1568629999997</v>
      </c>
      <c r="O65" s="349">
        <f t="shared" si="18"/>
        <v>-0.24594672594548572</v>
      </c>
      <c r="P65" s="808">
        <v>9682.9439999999995</v>
      </c>
      <c r="Q65" s="349">
        <f t="shared" si="18"/>
        <v>2.9649148450297562</v>
      </c>
      <c r="R65" s="808">
        <f>BS_Quarterly!BZ65</f>
        <v>3995.643</v>
      </c>
      <c r="S65" s="349">
        <f t="shared" si="18"/>
        <v>-0.58735246222636417</v>
      </c>
      <c r="T65" s="10"/>
      <c r="U65" s="10"/>
      <c r="V65" s="10"/>
      <c r="W65" s="10"/>
      <c r="X65" s="10"/>
      <c r="Y65" s="10"/>
      <c r="Z65" s="10"/>
      <c r="AA65" s="10"/>
      <c r="AB65" s="38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38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38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38"/>
      <c r="BM65" s="10"/>
      <c r="BN65" s="10"/>
    </row>
    <row r="66" spans="1:66" ht="16.2" customHeight="1" x14ac:dyDescent="0.4">
      <c r="C66" s="799" t="s">
        <v>36</v>
      </c>
      <c r="D66" s="798" t="s">
        <v>77</v>
      </c>
      <c r="E66" s="808">
        <v>55.008000000000003</v>
      </c>
      <c r="F66" s="808">
        <v>55.57</v>
      </c>
      <c r="G66" s="349">
        <f t="shared" si="17"/>
        <v>1.021669575334494E-2</v>
      </c>
      <c r="H66" s="808">
        <v>79.823999999999998</v>
      </c>
      <c r="I66" s="349">
        <f t="shared" si="18"/>
        <v>0.4364585207845959</v>
      </c>
      <c r="J66" s="808">
        <v>94.63</v>
      </c>
      <c r="K66" s="349">
        <f t="shared" si="18"/>
        <v>0.18548306273802373</v>
      </c>
      <c r="L66" s="808">
        <v>1110.9680000000001</v>
      </c>
      <c r="M66" s="349">
        <f t="shared" si="18"/>
        <v>10.740124696185143</v>
      </c>
      <c r="N66" s="808">
        <v>258.60925700000001</v>
      </c>
      <c r="O66" s="349">
        <f t="shared" si="18"/>
        <v>-0.76722168685326664</v>
      </c>
      <c r="P66" s="808">
        <v>594.26599999999996</v>
      </c>
      <c r="Q66" s="349">
        <f t="shared" si="18"/>
        <v>1.2979301162448333</v>
      </c>
      <c r="R66" s="808">
        <f>BS_Quarterly!BZ66</f>
        <v>1612.788</v>
      </c>
      <c r="S66" s="349">
        <f t="shared" si="18"/>
        <v>1.7139159904823766</v>
      </c>
      <c r="T66" s="10"/>
      <c r="U66" s="10"/>
      <c r="V66" s="10"/>
      <c r="W66" s="10"/>
      <c r="X66" s="10"/>
      <c r="Y66" s="10"/>
      <c r="Z66" s="10"/>
      <c r="AA66" s="10"/>
      <c r="AB66" s="38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38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38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38"/>
      <c r="BM66" s="10"/>
      <c r="BN66" s="10"/>
    </row>
    <row r="67" spans="1:66" ht="16.2" customHeight="1" x14ac:dyDescent="0.4">
      <c r="C67" s="799" t="s">
        <v>37</v>
      </c>
      <c r="D67" s="798" t="s">
        <v>38</v>
      </c>
      <c r="E67" s="808">
        <v>54.095999999999997</v>
      </c>
      <c r="F67" s="808">
        <v>576.12199999999996</v>
      </c>
      <c r="G67" s="349">
        <f t="shared" si="17"/>
        <v>9.6499926057379479</v>
      </c>
      <c r="H67" s="808">
        <v>3.22</v>
      </c>
      <c r="I67" s="349">
        <f t="shared" si="18"/>
        <v>-0.99441090602337701</v>
      </c>
      <c r="J67" s="808">
        <v>0</v>
      </c>
      <c r="K67" s="349">
        <f t="shared" si="18"/>
        <v>-1</v>
      </c>
      <c r="L67" s="808">
        <v>1365.4469999999999</v>
      </c>
      <c r="M67" s="349">
        <f t="shared" si="18"/>
        <v>0</v>
      </c>
      <c r="N67" s="808">
        <v>4.5413600000000001</v>
      </c>
      <c r="O67" s="349">
        <f t="shared" si="18"/>
        <v>-0.99667408548262948</v>
      </c>
      <c r="P67" s="808">
        <v>4.3999999999999997E-2</v>
      </c>
      <c r="Q67" s="349">
        <f t="shared" si="18"/>
        <v>-0.99031127239417271</v>
      </c>
      <c r="R67" s="808">
        <f>BS_Quarterly!BZ67</f>
        <v>0.14699999999999999</v>
      </c>
      <c r="S67" s="349">
        <f t="shared" si="18"/>
        <v>2.3409090909090908</v>
      </c>
      <c r="T67" s="10"/>
      <c r="U67" s="10"/>
      <c r="V67" s="10"/>
      <c r="W67" s="10"/>
      <c r="X67" s="10"/>
      <c r="Y67" s="10"/>
      <c r="Z67" s="10"/>
      <c r="AA67" s="10"/>
      <c r="AB67" s="139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39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39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39"/>
      <c r="BM67" s="10"/>
      <c r="BN67" s="10"/>
    </row>
    <row r="68" spans="1:66" ht="16.95" customHeight="1" x14ac:dyDescent="0.4">
      <c r="C68" s="803"/>
      <c r="D68" s="804"/>
      <c r="E68" s="809">
        <f>ROUND(SUM(E65:E67),0)</f>
        <v>826</v>
      </c>
      <c r="F68" s="809">
        <f>ROUND(SUM(F65:F67),0)</f>
        <v>1590</v>
      </c>
      <c r="G68" s="810">
        <f t="shared" si="17"/>
        <v>0.92493946731234877</v>
      </c>
      <c r="H68" s="809">
        <f>ROUND(SUM(H65:H67),0)</f>
        <v>737</v>
      </c>
      <c r="I68" s="810">
        <f t="shared" si="18"/>
        <v>-0.53647798742138364</v>
      </c>
      <c r="J68" s="809">
        <f>ROUND(SUM(J65:J67),0)</f>
        <v>512</v>
      </c>
      <c r="K68" s="810">
        <f t="shared" si="18"/>
        <v>-0.30529172320217102</v>
      </c>
      <c r="L68" s="809">
        <f>ROUND(SUM(L65:L67),0)</f>
        <v>5715</v>
      </c>
      <c r="M68" s="810">
        <f t="shared" si="18"/>
        <v>10.162109375</v>
      </c>
      <c r="N68" s="809">
        <f>ROUND(SUM(N65:N67),0)</f>
        <v>2705</v>
      </c>
      <c r="O68" s="810">
        <f t="shared" si="18"/>
        <v>-0.52668416447944</v>
      </c>
      <c r="P68" s="809">
        <f>ROUND(SUM(P65:P67),0)</f>
        <v>10277</v>
      </c>
      <c r="Q68" s="810">
        <f t="shared" si="18"/>
        <v>2.7992606284658041</v>
      </c>
      <c r="R68" s="809">
        <f>ROUND(SUM(R65:R67),0)</f>
        <v>5609</v>
      </c>
      <c r="S68" s="810">
        <f t="shared" si="18"/>
        <v>-0.45421815704972268</v>
      </c>
    </row>
    <row r="69" spans="1:66" ht="16.95" customHeight="1" x14ac:dyDescent="0.4">
      <c r="C69" s="552"/>
      <c r="D69" s="552"/>
      <c r="E69" s="552" t="b">
        <f>E64=E68</f>
        <v>1</v>
      </c>
      <c r="F69" s="552" t="b">
        <f>F64=F68</f>
        <v>1</v>
      </c>
      <c r="G69" s="337"/>
      <c r="H69" s="552" t="b">
        <f>H64=H68</f>
        <v>1</v>
      </c>
      <c r="I69" s="337"/>
      <c r="J69" s="552" t="b">
        <f>J64=J68</f>
        <v>1</v>
      </c>
      <c r="K69" s="337"/>
      <c r="L69" s="552" t="b">
        <f>L64=L68</f>
        <v>1</v>
      </c>
      <c r="M69" s="337"/>
      <c r="N69" s="552" t="b">
        <f>N64=N68</f>
        <v>1</v>
      </c>
      <c r="O69" s="337"/>
      <c r="P69" s="552" t="b">
        <f>P68=P64</f>
        <v>1</v>
      </c>
      <c r="Q69" s="337"/>
      <c r="R69" s="552" t="b">
        <f>R68=R64</f>
        <v>1</v>
      </c>
      <c r="S69" s="337"/>
    </row>
    <row r="70" spans="1:66" ht="16.2" customHeight="1" x14ac:dyDescent="0.4">
      <c r="C70" s="552"/>
      <c r="D70" s="552"/>
      <c r="E70" s="552"/>
      <c r="F70" s="552"/>
      <c r="G70" s="337"/>
      <c r="H70" s="552"/>
      <c r="I70" s="337"/>
      <c r="J70" s="552"/>
      <c r="K70" s="337"/>
      <c r="L70" s="552"/>
      <c r="M70" s="337"/>
      <c r="N70" s="552"/>
      <c r="O70" s="337"/>
      <c r="P70" s="552"/>
      <c r="Q70" s="337"/>
      <c r="R70" s="552"/>
      <c r="S70" s="337"/>
      <c r="T70" s="10"/>
      <c r="U70" s="10"/>
      <c r="V70" s="10"/>
      <c r="W70" s="10"/>
      <c r="X70" s="10"/>
      <c r="Y70" s="10"/>
      <c r="Z70" s="10"/>
      <c r="AA70" s="10"/>
      <c r="AB70" s="38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38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38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38"/>
      <c r="BM70" s="10"/>
      <c r="BN70" s="10"/>
    </row>
    <row r="71" spans="1:66" ht="16.2" customHeight="1" x14ac:dyDescent="0.4">
      <c r="C71" s="801" t="s">
        <v>23</v>
      </c>
      <c r="D71" s="802" t="s">
        <v>24</v>
      </c>
      <c r="E71" s="805">
        <f>ROUND(E32,0)</f>
        <v>4523</v>
      </c>
      <c r="F71" s="805">
        <f>ROUND(F32,0)</f>
        <v>5178</v>
      </c>
      <c r="G71" s="806">
        <f t="shared" ref="G71:G75" si="19">IFERROR(F71/E71-1,0)</f>
        <v>0.14481538801680305</v>
      </c>
      <c r="H71" s="805">
        <f>ROUND(H32,0)</f>
        <v>6166</v>
      </c>
      <c r="I71" s="806">
        <f t="shared" ref="I71:S75" si="20">IFERROR(H71/F71-1,0)</f>
        <v>0.19080726149092309</v>
      </c>
      <c r="J71" s="805">
        <f>ROUND(J32,0)</f>
        <v>6641</v>
      </c>
      <c r="K71" s="806">
        <f t="shared" si="20"/>
        <v>7.7035355173532327E-2</v>
      </c>
      <c r="L71" s="805">
        <f>ROUND(L32,0)</f>
        <v>6743</v>
      </c>
      <c r="M71" s="806">
        <f t="shared" si="20"/>
        <v>1.5359132660743846E-2</v>
      </c>
      <c r="N71" s="805">
        <f>ROUND(N32,0)</f>
        <v>6293</v>
      </c>
      <c r="O71" s="806">
        <f t="shared" si="20"/>
        <v>-6.6735874239952531E-2</v>
      </c>
      <c r="P71" s="805">
        <f>ROUND(P32,0)</f>
        <v>5072</v>
      </c>
      <c r="Q71" s="806">
        <f t="shared" si="20"/>
        <v>-0.19402510726203714</v>
      </c>
      <c r="R71" s="805">
        <f t="shared" ref="R71" si="21">ROUND(R32,0)</f>
        <v>5307</v>
      </c>
      <c r="S71" s="806">
        <f t="shared" si="20"/>
        <v>4.6332807570977907E-2</v>
      </c>
      <c r="T71" s="10"/>
      <c r="U71" s="10"/>
      <c r="V71" s="10"/>
      <c r="W71" s="10"/>
      <c r="X71" s="10"/>
      <c r="Y71" s="10"/>
      <c r="Z71" s="10"/>
      <c r="AA71" s="10"/>
      <c r="AB71" s="136"/>
      <c r="AC71" s="13"/>
      <c r="AD71" s="13"/>
      <c r="AE71" s="10"/>
      <c r="AF71" s="10"/>
      <c r="AG71" s="10"/>
      <c r="AH71" s="10"/>
      <c r="AI71" s="10"/>
      <c r="AJ71" s="10"/>
      <c r="AK71" s="10"/>
      <c r="AL71" s="10"/>
      <c r="AM71" s="10"/>
      <c r="AN71" s="136"/>
      <c r="AO71" s="13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36"/>
      <c r="BA71" s="13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36"/>
      <c r="BM71" s="10"/>
      <c r="BN71" s="10"/>
    </row>
    <row r="72" spans="1:66" ht="16.2" customHeight="1" x14ac:dyDescent="0.4">
      <c r="C72" s="799" t="s">
        <v>39</v>
      </c>
      <c r="D72" s="798" t="s">
        <v>40</v>
      </c>
      <c r="E72" s="808">
        <v>258.77300000000002</v>
      </c>
      <c r="F72" s="808">
        <v>224.77600000000001</v>
      </c>
      <c r="G72" s="349">
        <f t="shared" si="19"/>
        <v>-0.13137769396343513</v>
      </c>
      <c r="H72" s="808">
        <v>465.03300000000002</v>
      </c>
      <c r="I72" s="349">
        <f t="shared" si="20"/>
        <v>1.0688730113535252</v>
      </c>
      <c r="J72" s="808">
        <v>1061.6949999999999</v>
      </c>
      <c r="K72" s="349">
        <f t="shared" si="20"/>
        <v>1.2830530306451369</v>
      </c>
      <c r="L72" s="808">
        <v>1243.5340000000001</v>
      </c>
      <c r="M72" s="349">
        <f t="shared" si="20"/>
        <v>0.17127235222921855</v>
      </c>
      <c r="N72" s="808">
        <v>4.4985270000000002</v>
      </c>
      <c r="O72" s="349">
        <f t="shared" si="20"/>
        <v>-0.99638246561814958</v>
      </c>
      <c r="P72" s="808">
        <v>0.11600000000000001</v>
      </c>
      <c r="Q72" s="349">
        <f t="shared" si="20"/>
        <v>-0.97421378153337745</v>
      </c>
      <c r="R72" s="808">
        <f>BS_Quarterly!BZ72</f>
        <v>19.966000000000001</v>
      </c>
      <c r="S72" s="349">
        <f t="shared" si="20"/>
        <v>171.12068965517241</v>
      </c>
      <c r="T72" s="10"/>
      <c r="U72" s="10"/>
      <c r="V72" s="10"/>
      <c r="W72" s="10"/>
      <c r="X72" s="10"/>
      <c r="Y72" s="10"/>
      <c r="Z72" s="10"/>
      <c r="AA72" s="10"/>
      <c r="AB72" s="38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38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38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38"/>
      <c r="BM72" s="10"/>
      <c r="BN72" s="10"/>
    </row>
    <row r="73" spans="1:66" ht="16.2" customHeight="1" x14ac:dyDescent="0.4">
      <c r="C73" s="799" t="s">
        <v>41</v>
      </c>
      <c r="D73" s="798" t="s">
        <v>42</v>
      </c>
      <c r="E73" s="808">
        <v>12.31</v>
      </c>
      <c r="F73" s="808">
        <v>0.82299999999999995</v>
      </c>
      <c r="G73" s="349">
        <f t="shared" si="19"/>
        <v>-0.93314378554021116</v>
      </c>
      <c r="H73" s="808">
        <v>447.77</v>
      </c>
      <c r="I73" s="349">
        <f t="shared" si="20"/>
        <v>543.07047387606315</v>
      </c>
      <c r="J73" s="808">
        <v>392.072</v>
      </c>
      <c r="K73" s="349">
        <f t="shared" si="20"/>
        <v>-0.12438975366817784</v>
      </c>
      <c r="L73" s="808">
        <v>0</v>
      </c>
      <c r="M73" s="349">
        <f t="shared" si="20"/>
        <v>-1</v>
      </c>
      <c r="N73" s="808">
        <v>975.35790500000007</v>
      </c>
      <c r="O73" s="349">
        <f t="shared" si="20"/>
        <v>0</v>
      </c>
      <c r="P73" s="808">
        <v>438.04</v>
      </c>
      <c r="Q73" s="349">
        <f t="shared" si="20"/>
        <v>-0.55089306422343498</v>
      </c>
      <c r="R73" s="808">
        <f>BS_Quarterly!BZ73</f>
        <v>0</v>
      </c>
      <c r="S73" s="349">
        <f t="shared" si="20"/>
        <v>-1</v>
      </c>
      <c r="T73" s="10"/>
      <c r="U73" s="10"/>
      <c r="V73" s="10"/>
      <c r="W73" s="10"/>
      <c r="X73" s="10"/>
      <c r="Y73" s="10"/>
      <c r="Z73" s="10"/>
      <c r="AA73" s="10"/>
      <c r="AB73" s="34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34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34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34"/>
      <c r="BM73" s="10"/>
      <c r="BN73" s="10"/>
    </row>
    <row r="74" spans="1:66" s="38" customFormat="1" ht="16.2" customHeight="1" x14ac:dyDescent="0.4">
      <c r="A74" s="156"/>
      <c r="B74" s="37"/>
      <c r="C74" s="799" t="s">
        <v>43</v>
      </c>
      <c r="D74" s="798" t="s">
        <v>44</v>
      </c>
      <c r="E74" s="808">
        <v>4252.2860000000001</v>
      </c>
      <c r="F74" s="808">
        <v>4952.232</v>
      </c>
      <c r="G74" s="349">
        <f t="shared" si="19"/>
        <v>0.16460463854030505</v>
      </c>
      <c r="H74" s="808">
        <v>5253.0730000000003</v>
      </c>
      <c r="I74" s="349">
        <f t="shared" si="20"/>
        <v>6.0748567514607554E-2</v>
      </c>
      <c r="J74" s="808">
        <v>5187.5060000000003</v>
      </c>
      <c r="K74" s="349">
        <f t="shared" si="20"/>
        <v>-1.2481646457226048E-2</v>
      </c>
      <c r="L74" s="808">
        <v>5499.2839999999997</v>
      </c>
      <c r="M74" s="349">
        <f t="shared" si="20"/>
        <v>6.0101713617294994E-2</v>
      </c>
      <c r="N74" s="808">
        <v>5313.3263299999999</v>
      </c>
      <c r="O74" s="349">
        <f t="shared" si="20"/>
        <v>-3.3814887538086702E-2</v>
      </c>
      <c r="P74" s="808">
        <v>4634.01</v>
      </c>
      <c r="Q74" s="349">
        <f t="shared" si="20"/>
        <v>-0.12785142259462912</v>
      </c>
      <c r="R74" s="808">
        <f>BS_Quarterly!BZ74</f>
        <v>5287.1030000000001</v>
      </c>
      <c r="S74" s="349">
        <f t="shared" si="20"/>
        <v>0.14093474118528015</v>
      </c>
      <c r="T74" s="10"/>
      <c r="U74" s="10"/>
      <c r="V74" s="10"/>
      <c r="W74" s="10"/>
      <c r="X74" s="10"/>
      <c r="Y74" s="10"/>
      <c r="Z74" s="10"/>
      <c r="AA74" s="10"/>
      <c r="AC74" s="22"/>
      <c r="AD74" s="22"/>
      <c r="AE74" s="10"/>
      <c r="AF74" s="10"/>
      <c r="AG74" s="10"/>
      <c r="AH74" s="10"/>
      <c r="AI74" s="10"/>
      <c r="AJ74" s="10"/>
      <c r="AK74" s="10"/>
      <c r="AL74" s="10"/>
      <c r="AM74" s="10"/>
      <c r="AO74" s="22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BA74" s="22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M74" s="10"/>
      <c r="BN74" s="10"/>
    </row>
    <row r="75" spans="1:66" ht="16.95" customHeight="1" x14ac:dyDescent="0.4">
      <c r="B75" s="39"/>
      <c r="C75" s="799" t="s">
        <v>487</v>
      </c>
      <c r="D75" s="798" t="s">
        <v>488</v>
      </c>
      <c r="E75" s="808">
        <f>ROUND(SUM(E72:E74),0)</f>
        <v>4523</v>
      </c>
      <c r="F75" s="808">
        <f>ROUND(SUM(F72:F74),0)</f>
        <v>5178</v>
      </c>
      <c r="G75" s="349">
        <f t="shared" si="19"/>
        <v>0.14481538801680305</v>
      </c>
      <c r="H75" s="808">
        <f>ROUND(SUM(H72:H74),0)</f>
        <v>6166</v>
      </c>
      <c r="I75" s="349">
        <f t="shared" si="20"/>
        <v>0.19080726149092309</v>
      </c>
      <c r="J75" s="808">
        <f>ROUND(SUM(J72:J74),0)</f>
        <v>6641</v>
      </c>
      <c r="K75" s="349">
        <f t="shared" si="20"/>
        <v>7.7035355173532327E-2</v>
      </c>
      <c r="L75" s="808">
        <f>ROUND(SUM(L72:L74),0)</f>
        <v>6743</v>
      </c>
      <c r="M75" s="349">
        <f t="shared" si="20"/>
        <v>1.5359132660743846E-2</v>
      </c>
      <c r="N75" s="808">
        <f>ROUND(SUM(N72:N74),0)</f>
        <v>6293</v>
      </c>
      <c r="O75" s="349">
        <f t="shared" si="20"/>
        <v>-6.6735874239952531E-2</v>
      </c>
      <c r="P75" s="808">
        <f>ROUND(SUM(P72:P74),0)</f>
        <v>5072</v>
      </c>
      <c r="Q75" s="349">
        <f t="shared" si="20"/>
        <v>-0.19402510726203714</v>
      </c>
      <c r="R75" s="808">
        <f>ROUND(SUM(R72:R74),0)</f>
        <v>5307</v>
      </c>
      <c r="S75" s="349">
        <f t="shared" si="20"/>
        <v>4.6332807570977907E-2</v>
      </c>
    </row>
    <row r="76" spans="1:66" ht="16.95" customHeight="1" x14ac:dyDescent="0.4">
      <c r="C76" s="803"/>
      <c r="D76" s="804"/>
      <c r="E76" s="809" t="b">
        <f>E71=E75</f>
        <v>1</v>
      </c>
      <c r="F76" s="809" t="b">
        <f>F71=F75</f>
        <v>1</v>
      </c>
      <c r="G76" s="810"/>
      <c r="H76" s="809" t="b">
        <f>H71=H75</f>
        <v>1</v>
      </c>
      <c r="I76" s="810"/>
      <c r="J76" s="809" t="b">
        <f>J71=J75</f>
        <v>1</v>
      </c>
      <c r="K76" s="810"/>
      <c r="L76" s="809" t="b">
        <f>L71=L75</f>
        <v>1</v>
      </c>
      <c r="M76" s="810"/>
      <c r="N76" s="809" t="b">
        <f>N71=N75</f>
        <v>1</v>
      </c>
      <c r="O76" s="810"/>
      <c r="P76" s="809" t="b">
        <f>P75=P71</f>
        <v>1</v>
      </c>
      <c r="Q76" s="810"/>
      <c r="R76" s="809" t="b">
        <f>R75=R71</f>
        <v>1</v>
      </c>
      <c r="S76" s="810"/>
    </row>
    <row r="77" spans="1:66" ht="16.95" customHeight="1" x14ac:dyDescent="0.4">
      <c r="E77" s="552"/>
      <c r="F77" s="552"/>
      <c r="G77" s="337"/>
      <c r="H77" s="552"/>
      <c r="I77" s="337"/>
      <c r="J77" s="552"/>
      <c r="K77" s="337"/>
      <c r="L77" s="552"/>
      <c r="M77" s="337"/>
      <c r="N77" s="552"/>
      <c r="O77" s="337"/>
      <c r="P77" s="552"/>
      <c r="Q77" s="337"/>
      <c r="R77" s="552"/>
      <c r="S77" s="337"/>
    </row>
    <row r="78" spans="1:66" ht="13.8" customHeight="1" x14ac:dyDescent="0.4"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</row>
    <row r="79" spans="1:66" ht="16.95" customHeight="1" x14ac:dyDescent="0.4">
      <c r="C79" s="874" t="str">
        <f>C28</f>
        <v>기타채무</v>
      </c>
      <c r="D79" s="876" t="str">
        <f t="shared" ref="D79" si="22">D28</f>
        <v>Other Liabilities</v>
      </c>
      <c r="E79" s="879"/>
      <c r="F79" s="879"/>
      <c r="G79" s="880"/>
      <c r="H79" s="879"/>
      <c r="I79" s="880"/>
      <c r="J79" s="879"/>
      <c r="K79" s="880"/>
      <c r="L79" s="879"/>
      <c r="M79" s="880"/>
      <c r="N79" s="879"/>
      <c r="O79" s="880"/>
      <c r="P79" s="879"/>
      <c r="Q79" s="880"/>
      <c r="R79" s="879">
        <v>11034.160042</v>
      </c>
      <c r="S79" s="880"/>
    </row>
    <row r="80" spans="1:66" ht="16.95" customHeight="1" x14ac:dyDescent="0.4">
      <c r="C80" s="799" t="s">
        <v>466</v>
      </c>
      <c r="D80" s="798" t="s">
        <v>420</v>
      </c>
      <c r="E80" s="808"/>
      <c r="F80" s="808"/>
      <c r="G80" s="349"/>
      <c r="H80" s="808"/>
      <c r="I80" s="349"/>
      <c r="J80" s="808"/>
      <c r="K80" s="349"/>
      <c r="L80" s="808"/>
      <c r="M80" s="349"/>
      <c r="N80" s="808"/>
      <c r="O80" s="349"/>
      <c r="P80" s="808"/>
      <c r="Q80" s="349"/>
      <c r="R80" s="808">
        <v>4709.9459999999999</v>
      </c>
      <c r="S80" s="349"/>
    </row>
    <row r="81" spans="3:19" ht="16.95" customHeight="1" x14ac:dyDescent="0.4">
      <c r="C81" s="799" t="s">
        <v>465</v>
      </c>
      <c r="D81" s="798" t="s">
        <v>482</v>
      </c>
      <c r="E81" s="808"/>
      <c r="F81" s="808"/>
      <c r="G81" s="349"/>
      <c r="H81" s="808"/>
      <c r="I81" s="349"/>
      <c r="J81" s="808"/>
      <c r="K81" s="349"/>
      <c r="L81" s="808"/>
      <c r="M81" s="349"/>
      <c r="N81" s="808"/>
      <c r="O81" s="349"/>
      <c r="P81" s="808"/>
      <c r="Q81" s="349"/>
      <c r="R81" s="808">
        <v>5789.7089999999998</v>
      </c>
      <c r="S81" s="349"/>
    </row>
    <row r="82" spans="3:19" ht="16.95" customHeight="1" x14ac:dyDescent="0.4">
      <c r="C82" s="799" t="s">
        <v>467</v>
      </c>
      <c r="D82" s="798" t="s">
        <v>483</v>
      </c>
      <c r="E82" s="808"/>
      <c r="F82" s="808"/>
      <c r="G82" s="349"/>
      <c r="H82" s="808"/>
      <c r="I82" s="349"/>
      <c r="J82" s="808"/>
      <c r="K82" s="349"/>
      <c r="L82" s="808"/>
      <c r="M82" s="349"/>
      <c r="N82" s="808"/>
      <c r="O82" s="349"/>
      <c r="P82" s="808"/>
      <c r="Q82" s="349"/>
      <c r="R82" s="808">
        <v>534.505</v>
      </c>
      <c r="S82" s="349"/>
    </row>
    <row r="83" spans="3:19" ht="16.95" customHeight="1" x14ac:dyDescent="0.4">
      <c r="C83" s="799" t="s">
        <v>489</v>
      </c>
      <c r="D83" s="798" t="s">
        <v>490</v>
      </c>
      <c r="E83" s="808"/>
      <c r="F83" s="808"/>
      <c r="G83" s="349"/>
      <c r="H83" s="808"/>
      <c r="I83" s="349"/>
      <c r="J83" s="808"/>
      <c r="K83" s="349"/>
      <c r="L83" s="808"/>
      <c r="M83" s="349"/>
      <c r="N83" s="808"/>
      <c r="O83" s="349"/>
      <c r="P83" s="808"/>
      <c r="Q83" s="349"/>
      <c r="R83" s="808">
        <v>0</v>
      </c>
      <c r="S83" s="349"/>
    </row>
    <row r="84" spans="3:19" ht="16.95" customHeight="1" x14ac:dyDescent="0.4">
      <c r="C84" s="803"/>
      <c r="D84" s="804"/>
      <c r="E84" s="809"/>
      <c r="F84" s="809"/>
      <c r="G84" s="810"/>
      <c r="H84" s="809"/>
      <c r="I84" s="810"/>
      <c r="J84" s="809"/>
      <c r="K84" s="810"/>
      <c r="L84" s="809"/>
      <c r="M84" s="810"/>
      <c r="N84" s="809"/>
      <c r="O84" s="810"/>
      <c r="P84" s="809"/>
      <c r="Q84" s="810"/>
      <c r="R84" s="809">
        <v>11034.159999999998</v>
      </c>
      <c r="S84" s="810"/>
    </row>
    <row r="85" spans="3:19" ht="16.95" customHeight="1" x14ac:dyDescent="0.4">
      <c r="E85" s="337"/>
      <c r="F85" s="337"/>
      <c r="G85" s="337"/>
      <c r="H85" s="337"/>
      <c r="I85" s="337"/>
      <c r="J85" s="337"/>
      <c r="K85" s="337"/>
      <c r="L85" s="337"/>
      <c r="M85" s="337"/>
      <c r="N85" s="337"/>
      <c r="O85" s="337"/>
      <c r="P85" s="337"/>
      <c r="Q85" s="337"/>
      <c r="R85" s="337" t="b">
        <v>1</v>
      </c>
      <c r="S85" s="337"/>
    </row>
    <row r="86" spans="3:19" ht="16.95" customHeight="1" x14ac:dyDescent="0.4">
      <c r="C86" s="874" t="s">
        <v>155</v>
      </c>
      <c r="D86" s="876" t="str">
        <f>D47</f>
        <v>Capital Adjustments</v>
      </c>
      <c r="E86" s="879"/>
      <c r="F86" s="879"/>
      <c r="G86" s="880"/>
      <c r="H86" s="879"/>
      <c r="I86" s="880"/>
      <c r="J86" s="879"/>
      <c r="K86" s="880"/>
      <c r="L86" s="879"/>
      <c r="M86" s="880"/>
      <c r="N86" s="879"/>
      <c r="O86" s="880"/>
      <c r="P86" s="879"/>
      <c r="Q86" s="880"/>
      <c r="R86" s="879">
        <v>-1920.633503</v>
      </c>
      <c r="S86" s="880"/>
    </row>
    <row r="87" spans="3:19" ht="16.95" customHeight="1" x14ac:dyDescent="0.4">
      <c r="C87" s="799" t="s">
        <v>468</v>
      </c>
      <c r="D87" s="798" t="s">
        <v>484</v>
      </c>
      <c r="E87" s="808"/>
      <c r="F87" s="808"/>
      <c r="G87" s="349"/>
      <c r="H87" s="808"/>
      <c r="I87" s="349"/>
      <c r="J87" s="808"/>
      <c r="K87" s="349"/>
      <c r="L87" s="808"/>
      <c r="M87" s="349"/>
      <c r="N87" s="808"/>
      <c r="O87" s="349"/>
      <c r="P87" s="808"/>
      <c r="Q87" s="349"/>
      <c r="R87" s="808">
        <v>7677.8059999999996</v>
      </c>
      <c r="S87" s="349"/>
    </row>
    <row r="88" spans="3:19" ht="16.95" customHeight="1" x14ac:dyDescent="0.4">
      <c r="C88" s="799" t="s">
        <v>469</v>
      </c>
      <c r="D88" s="798" t="s">
        <v>485</v>
      </c>
      <c r="E88" s="808"/>
      <c r="F88" s="808"/>
      <c r="G88" s="349"/>
      <c r="H88" s="808"/>
      <c r="I88" s="349"/>
      <c r="J88" s="808"/>
      <c r="K88" s="349"/>
      <c r="L88" s="808"/>
      <c r="M88" s="349"/>
      <c r="N88" s="808"/>
      <c r="O88" s="349"/>
      <c r="P88" s="808"/>
      <c r="Q88" s="349"/>
      <c r="R88" s="808">
        <v>-9596.8130000000001</v>
      </c>
      <c r="S88" s="349"/>
    </row>
    <row r="89" spans="3:19" ht="16.95" customHeight="1" x14ac:dyDescent="0.4">
      <c r="C89" s="799" t="s">
        <v>470</v>
      </c>
      <c r="D89" s="798" t="s">
        <v>486</v>
      </c>
      <c r="E89" s="808"/>
      <c r="F89" s="808"/>
      <c r="G89" s="349"/>
      <c r="H89" s="808"/>
      <c r="I89" s="349"/>
      <c r="J89" s="808"/>
      <c r="K89" s="349"/>
      <c r="L89" s="808"/>
      <c r="M89" s="349"/>
      <c r="N89" s="808"/>
      <c r="O89" s="349"/>
      <c r="P89" s="808"/>
      <c r="Q89" s="349"/>
      <c r="R89" s="808">
        <v>-1.6259999999999999</v>
      </c>
      <c r="S89" s="349"/>
    </row>
    <row r="90" spans="3:19" ht="16.95" customHeight="1" x14ac:dyDescent="0.4">
      <c r="C90" s="803"/>
      <c r="D90" s="804"/>
      <c r="E90" s="809"/>
      <c r="F90" s="809"/>
      <c r="G90" s="810"/>
      <c r="H90" s="809"/>
      <c r="I90" s="810"/>
      <c r="J90" s="809"/>
      <c r="K90" s="810"/>
      <c r="L90" s="809"/>
      <c r="M90" s="810"/>
      <c r="N90" s="809"/>
      <c r="O90" s="810"/>
      <c r="P90" s="809"/>
      <c r="Q90" s="810"/>
      <c r="R90" s="809">
        <v>-1920.6330000000005</v>
      </c>
      <c r="S90" s="810"/>
    </row>
    <row r="91" spans="3:19" ht="16.95" customHeight="1" x14ac:dyDescent="0.4">
      <c r="E91" s="336"/>
      <c r="F91" s="336"/>
      <c r="G91" s="337"/>
      <c r="H91" s="336"/>
      <c r="I91" s="337"/>
      <c r="J91" s="336"/>
      <c r="K91" s="337"/>
      <c r="L91" s="336"/>
      <c r="M91" s="337"/>
      <c r="N91" s="336"/>
      <c r="O91" s="337"/>
      <c r="P91" s="336"/>
      <c r="Q91" s="337"/>
      <c r="R91" s="336" t="b">
        <v>1</v>
      </c>
      <c r="S91" s="337"/>
    </row>
  </sheetData>
  <phoneticPr fontId="3" type="noConversion"/>
  <conditionalFormatting sqref="G55:G61 I55:I61 K55:K61 M55:M61 O55:O61 Q55:Q61 S55:S61">
    <cfRule type="cellIs" dxfId="78" priority="13" operator="lessThan">
      <formula>0</formula>
    </cfRule>
    <cfRule type="cellIs" dxfId="77" priority="14" operator="greaterThan">
      <formula>0</formula>
    </cfRule>
  </conditionalFormatting>
  <conditionalFormatting sqref="G64:G68 I64:I68 K64:K68 M64:M68 O64:O68 Q64:Q68 S64:S68">
    <cfRule type="cellIs" dxfId="76" priority="11" operator="lessThan">
      <formula>0</formula>
    </cfRule>
    <cfRule type="cellIs" dxfId="75" priority="12" operator="greaterThan">
      <formula>0</formula>
    </cfRule>
  </conditionalFormatting>
  <conditionalFormatting sqref="G71:G76 I71:I76 K71:K76 M71:M76 O71:O76 Q71:Q76 S71:S76">
    <cfRule type="cellIs" dxfId="74" priority="9" operator="lessThan">
      <formula>0</formula>
    </cfRule>
    <cfRule type="cellIs" dxfId="73" priority="10" operator="greaterThan">
      <formula>0</formula>
    </cfRule>
  </conditionalFormatting>
  <conditionalFormatting sqref="G79:G84 I79:I84 K79:K84 M79:M84 O79:O84 Q79:Q84 S79:S84">
    <cfRule type="cellIs" dxfId="72" priority="3" operator="lessThan">
      <formula>0</formula>
    </cfRule>
    <cfRule type="cellIs" dxfId="71" priority="4" operator="greaterThan">
      <formula>0</formula>
    </cfRule>
  </conditionalFormatting>
  <conditionalFormatting sqref="G86:G90 I86:I90 K86:K90 M86:M90 O86:O90 Q86:Q90 S86:S90">
    <cfRule type="cellIs" dxfId="70" priority="1" operator="lessThan">
      <formula>0</formula>
    </cfRule>
    <cfRule type="cellIs" dxfId="69" priority="2" operator="greaterThan">
      <formula>0</formula>
    </cfRule>
  </conditionalFormatting>
  <conditionalFormatting sqref="T55:U55">
    <cfRule type="cellIs" dxfId="68" priority="72" operator="lessThan">
      <formula>-0.1</formula>
    </cfRule>
    <cfRule type="cellIs" dxfId="67" priority="73" operator="greaterThan">
      <formula>0.1</formula>
    </cfRule>
  </conditionalFormatting>
  <conditionalFormatting sqref="T64:U64 T71:U71">
    <cfRule type="cellIs" dxfId="66" priority="76" operator="lessThan">
      <formula>-0.1</formula>
    </cfRule>
    <cfRule type="cellIs" dxfId="65" priority="77" operator="greaterThan">
      <formula>0.1</formula>
    </cfRule>
  </conditionalFormatting>
  <conditionalFormatting sqref="W55:X55 Z55:AA55 AC55:AD55 AF55:AG55 AI55:AJ55 AL55:AM55 AO55:AP55 AR55:AS55 AU55:AV55 AX55:AY55 BA55:BB55 BD55:BE55 BG55:BH55 BJ55:BK55 BM55:BN55 W64:X64 Z64:AA64 AC64:AD64 AF64:AG64 AI64:AJ64 AL64:AM64 AO64:AP64 AR64:AS64 AU64:AV64 AX64:AY64 BA64:BB64 BD64:BE64 BG64:BH64 BJ64:BK64 BM64:BN64 W71:X71 Z71:AA71 AC71:AD71 AF71:AG71 AI71:AJ71 AL71:AM71 AO71:AP71 AR71:AS71 AU71:AV71 AX71:AY71 BA71:BB71 BD71:BE71 BG71:BH71 BJ71:BK71 BM71:BN71">
    <cfRule type="cellIs" dxfId="64" priority="88" operator="lessThan">
      <formula>-0.1</formula>
    </cfRule>
    <cfRule type="cellIs" dxfId="63" priority="89" operator="greaterThan">
      <formula>0.1</formula>
    </cfRule>
  </conditionalFormatting>
  <pageMargins left="0.25" right="0.25" top="0.75" bottom="0.75" header="0.3" footer="0.3"/>
  <pageSetup paperSize="9" scale="40" fitToHeight="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CD62-71DB-499A-AAF9-447CB2702895}">
  <sheetPr>
    <tabColor theme="8"/>
  </sheetPr>
  <dimension ref="A1"/>
  <sheetViews>
    <sheetView workbookViewId="0">
      <selection activeCell="X31" sqref="X31"/>
    </sheetView>
  </sheetViews>
  <sheetFormatPr defaultRowHeight="17.399999999999999" x14ac:dyDescent="0.4"/>
  <sheetData/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FD1E6-39C0-4568-A755-4D65636E724F}">
  <dimension ref="A1:CO71"/>
  <sheetViews>
    <sheetView showGridLines="0" view="pageBreakPreview" zoomScaleNormal="100" zoomScaleSheetLayoutView="100" workbookViewId="0">
      <pane xSplit="3" ySplit="3" topLeftCell="BW4" activePane="bottomRight" state="frozen"/>
      <selection activeCell="CO4" sqref="CO4"/>
      <selection pane="topRight" activeCell="CO4" sqref="CO4"/>
      <selection pane="bottomLeft" activeCell="CO4" sqref="CO4"/>
      <selection pane="bottomRight" activeCell="CP4" sqref="CP4"/>
    </sheetView>
  </sheetViews>
  <sheetFormatPr defaultColWidth="7.59765625" defaultRowHeight="13.2" outlineLevelCol="1" x14ac:dyDescent="0.4"/>
  <cols>
    <col min="1" max="1" width="3.19921875" style="156" customWidth="1"/>
    <col min="2" max="2" width="14.5" style="103" customWidth="1"/>
    <col min="3" max="3" width="14.59765625" style="103" customWidth="1"/>
    <col min="4" max="8" width="9.19921875" style="205" hidden="1" customWidth="1" outlineLevel="1"/>
    <col min="9" max="10" width="7.19921875" style="206" hidden="1" customWidth="1" outlineLevel="1"/>
    <col min="11" max="11" width="9.19921875" style="205" hidden="1" customWidth="1" outlineLevel="1"/>
    <col min="12" max="13" width="7.19921875" style="206" hidden="1" customWidth="1" outlineLevel="1"/>
    <col min="14" max="14" width="9.19921875" style="205" hidden="1" customWidth="1" outlineLevel="1"/>
    <col min="15" max="16" width="7.19921875" style="206" hidden="1" customWidth="1" outlineLevel="1"/>
    <col min="17" max="17" width="9.19921875" style="205" hidden="1" customWidth="1" outlineLevel="1"/>
    <col min="18" max="19" width="7.19921875" style="206" hidden="1" customWidth="1" outlineLevel="1"/>
    <col min="20" max="20" width="9.19921875" style="205" hidden="1" customWidth="1" outlineLevel="1"/>
    <col min="21" max="22" width="7.19921875" style="206" hidden="1" customWidth="1" outlineLevel="1"/>
    <col min="23" max="23" width="9.19921875" style="205" hidden="1" customWidth="1" outlineLevel="1"/>
    <col min="24" max="25" width="7.19921875" style="206" hidden="1" customWidth="1" outlineLevel="1"/>
    <col min="26" max="26" width="9.19921875" style="205" hidden="1" customWidth="1" outlineLevel="1"/>
    <col min="27" max="28" width="7.19921875" style="206" hidden="1" customWidth="1" outlineLevel="1"/>
    <col min="29" max="29" width="9.19921875" style="205" hidden="1" customWidth="1" outlineLevel="1"/>
    <col min="30" max="31" width="7.19921875" style="206" hidden="1" customWidth="1" outlineLevel="1"/>
    <col min="32" max="32" width="9.19921875" style="205" hidden="1" customWidth="1" outlineLevel="1"/>
    <col min="33" max="34" width="7.19921875" style="206" hidden="1" customWidth="1" outlineLevel="1"/>
    <col min="35" max="35" width="9.19921875" style="205" hidden="1" customWidth="1" outlineLevel="1"/>
    <col min="36" max="37" width="7.19921875" style="206" hidden="1" customWidth="1" outlineLevel="1"/>
    <col min="38" max="38" width="9.19921875" style="205" hidden="1" customWidth="1" outlineLevel="1"/>
    <col min="39" max="40" width="7.19921875" style="206" hidden="1" customWidth="1" outlineLevel="1"/>
    <col min="41" max="41" width="9.19921875" style="205" hidden="1" customWidth="1" outlineLevel="1"/>
    <col min="42" max="43" width="7.19921875" style="206" hidden="1" customWidth="1" outlineLevel="1"/>
    <col min="44" max="44" width="9.19921875" style="205" hidden="1" customWidth="1" outlineLevel="1"/>
    <col min="45" max="46" width="7.19921875" style="206" hidden="1" customWidth="1" outlineLevel="1"/>
    <col min="47" max="47" width="9.19921875" style="205" hidden="1" customWidth="1" outlineLevel="1"/>
    <col min="48" max="49" width="7.19921875" style="206" hidden="1" customWidth="1" outlineLevel="1"/>
    <col min="50" max="50" width="9.19921875" style="205" hidden="1" customWidth="1" outlineLevel="1"/>
    <col min="51" max="52" width="7.19921875" style="206" hidden="1" customWidth="1" outlineLevel="1"/>
    <col min="53" max="53" width="9.19921875" style="205" hidden="1" customWidth="1" outlineLevel="1"/>
    <col min="54" max="55" width="7.19921875" style="206" hidden="1" customWidth="1" outlineLevel="1"/>
    <col min="56" max="56" width="9.19921875" style="205" hidden="1" customWidth="1" outlineLevel="1" collapsed="1"/>
    <col min="57" max="58" width="7.19921875" style="206" hidden="1" customWidth="1" outlineLevel="1"/>
    <col min="59" max="59" width="9.19921875" style="205" hidden="1" customWidth="1" outlineLevel="1"/>
    <col min="60" max="61" width="7.19921875" style="206" hidden="1" customWidth="1" outlineLevel="1"/>
    <col min="62" max="62" width="9.19921875" style="205" hidden="1" customWidth="1" outlineLevel="1"/>
    <col min="63" max="64" width="7.19921875" style="206" hidden="1" customWidth="1" outlineLevel="1"/>
    <col min="65" max="65" width="9.19921875" style="205" hidden="1" customWidth="1" outlineLevel="1"/>
    <col min="66" max="67" width="7.19921875" style="206" hidden="1" customWidth="1" outlineLevel="1"/>
    <col min="68" max="68" width="9.19921875" style="205" customWidth="1" collapsed="1"/>
    <col min="69" max="70" width="7.19921875" style="206" customWidth="1"/>
    <col min="71" max="71" width="9.19921875" style="205" customWidth="1"/>
    <col min="72" max="73" width="7.19921875" style="206" customWidth="1"/>
    <col min="74" max="74" width="9.19921875" style="205" customWidth="1"/>
    <col min="75" max="76" width="7.19921875" style="206" customWidth="1"/>
    <col min="77" max="77" width="9.19921875" style="205" customWidth="1"/>
    <col min="78" max="79" width="7.19921875" style="206" customWidth="1"/>
    <col min="80" max="80" width="9.19921875" style="205" customWidth="1"/>
    <col min="81" max="82" width="7.19921875" style="206" customWidth="1"/>
    <col min="83" max="83" width="9.19921875" style="205" customWidth="1"/>
    <col min="84" max="85" width="7.19921875" style="206" customWidth="1"/>
    <col min="86" max="86" width="9.19921875" style="205" customWidth="1"/>
    <col min="87" max="88" width="7.19921875" style="206" customWidth="1"/>
    <col min="89" max="89" width="9.19921875" style="205" customWidth="1"/>
    <col min="90" max="91" width="7.19921875" style="206" customWidth="1"/>
    <col min="92" max="16384" width="7.59765625" style="11"/>
  </cols>
  <sheetData>
    <row r="1" spans="1:91" s="45" customFormat="1" x14ac:dyDescent="0.4">
      <c r="A1" s="157"/>
      <c r="B1" s="40" t="s">
        <v>268</v>
      </c>
      <c r="C1" s="44"/>
      <c r="D1" s="207" t="s">
        <v>323</v>
      </c>
      <c r="E1" s="207"/>
      <c r="F1" s="207"/>
      <c r="G1" s="207"/>
      <c r="H1" s="207" t="s">
        <v>254</v>
      </c>
      <c r="I1" s="207"/>
      <c r="J1" s="207"/>
      <c r="K1" s="207" t="s">
        <v>254</v>
      </c>
      <c r="L1" s="207"/>
      <c r="M1" s="207"/>
      <c r="N1" s="207" t="s">
        <v>254</v>
      </c>
      <c r="O1" s="207"/>
      <c r="P1" s="207"/>
      <c r="Q1" s="207" t="s">
        <v>254</v>
      </c>
      <c r="R1" s="207"/>
      <c r="S1" s="207"/>
      <c r="T1" s="207" t="s">
        <v>324</v>
      </c>
      <c r="U1" s="207"/>
      <c r="V1" s="207"/>
      <c r="W1" s="207" t="s">
        <v>324</v>
      </c>
      <c r="X1" s="207"/>
      <c r="Y1" s="207"/>
      <c r="Z1" s="207" t="s">
        <v>324</v>
      </c>
      <c r="AA1" s="207"/>
      <c r="AB1" s="207"/>
      <c r="AC1" s="207" t="s">
        <v>324</v>
      </c>
      <c r="AD1" s="207"/>
      <c r="AE1" s="207"/>
      <c r="AF1" s="207" t="s">
        <v>325</v>
      </c>
      <c r="AG1" s="207"/>
      <c r="AH1" s="207"/>
      <c r="AI1" s="207" t="s">
        <v>325</v>
      </c>
      <c r="AJ1" s="207"/>
      <c r="AK1" s="207"/>
      <c r="AL1" s="207" t="s">
        <v>325</v>
      </c>
      <c r="AM1" s="207"/>
      <c r="AN1" s="207"/>
      <c r="AO1" s="207" t="s">
        <v>325</v>
      </c>
      <c r="AP1" s="207"/>
      <c r="AQ1" s="207"/>
      <c r="AR1" s="207" t="s">
        <v>326</v>
      </c>
      <c r="AS1" s="207"/>
      <c r="AT1" s="207"/>
      <c r="AU1" s="207" t="s">
        <v>326</v>
      </c>
      <c r="AV1" s="207"/>
      <c r="AW1" s="207"/>
      <c r="AX1" s="207" t="s">
        <v>326</v>
      </c>
      <c r="AY1" s="207"/>
      <c r="AZ1" s="207"/>
      <c r="BA1" s="207" t="s">
        <v>326</v>
      </c>
      <c r="BB1" s="207"/>
      <c r="BC1" s="207"/>
      <c r="BD1" s="207">
        <v>2022</v>
      </c>
      <c r="BE1" s="207"/>
      <c r="BF1" s="207"/>
      <c r="BG1" s="207">
        <v>2022</v>
      </c>
      <c r="BH1" s="207"/>
      <c r="BI1" s="207"/>
      <c r="BJ1" s="207">
        <v>2022</v>
      </c>
      <c r="BK1" s="207"/>
      <c r="BL1" s="207"/>
      <c r="BM1" s="207">
        <v>2022</v>
      </c>
      <c r="BN1" s="207"/>
      <c r="BO1" s="207"/>
      <c r="BP1" s="207">
        <v>2023</v>
      </c>
      <c r="BQ1" s="207"/>
      <c r="BR1" s="207"/>
      <c r="BS1" s="207">
        <v>2023</v>
      </c>
      <c r="BT1" s="207"/>
      <c r="BU1" s="207"/>
      <c r="BV1" s="207">
        <v>2023</v>
      </c>
      <c r="BW1" s="207"/>
      <c r="BX1" s="207"/>
      <c r="BY1" s="207">
        <v>2023</v>
      </c>
      <c r="BZ1" s="207"/>
      <c r="CA1" s="207"/>
      <c r="CB1" s="207">
        <v>2024</v>
      </c>
      <c r="CC1" s="207"/>
      <c r="CD1" s="207"/>
      <c r="CE1" s="207">
        <v>2024</v>
      </c>
      <c r="CF1" s="207"/>
      <c r="CG1" s="207"/>
      <c r="CH1" s="207">
        <v>2024</v>
      </c>
      <c r="CI1" s="207"/>
      <c r="CJ1" s="207"/>
      <c r="CK1" s="207">
        <v>2024</v>
      </c>
      <c r="CL1" s="207"/>
      <c r="CM1" s="207"/>
    </row>
    <row r="2" spans="1:91" ht="16.2" customHeight="1" x14ac:dyDescent="0.4">
      <c r="B2" s="40" t="s">
        <v>127</v>
      </c>
      <c r="C2" s="41"/>
      <c r="CK2" s="11" t="s">
        <v>405</v>
      </c>
    </row>
    <row r="3" spans="1:91" s="41" customFormat="1" ht="16.2" customHeight="1" x14ac:dyDescent="0.4">
      <c r="A3" s="156">
        <v>1</v>
      </c>
      <c r="B3" s="197" t="s">
        <v>189</v>
      </c>
      <c r="C3" s="198"/>
      <c r="D3" s="208" t="s">
        <v>327</v>
      </c>
      <c r="E3" s="209" t="s">
        <v>328</v>
      </c>
      <c r="F3" s="209" t="s">
        <v>329</v>
      </c>
      <c r="G3" s="209" t="s">
        <v>330</v>
      </c>
      <c r="H3" s="210" t="s">
        <v>331</v>
      </c>
      <c r="I3" s="211" t="s">
        <v>1</v>
      </c>
      <c r="J3" s="211" t="s">
        <v>0</v>
      </c>
      <c r="K3" s="209" t="s">
        <v>332</v>
      </c>
      <c r="L3" s="211" t="s">
        <v>1</v>
      </c>
      <c r="M3" s="211" t="s">
        <v>0</v>
      </c>
      <c r="N3" s="209" t="s">
        <v>333</v>
      </c>
      <c r="O3" s="211" t="s">
        <v>1</v>
      </c>
      <c r="P3" s="211" t="s">
        <v>0</v>
      </c>
      <c r="Q3" s="209" t="s">
        <v>334</v>
      </c>
      <c r="R3" s="211" t="s">
        <v>1</v>
      </c>
      <c r="S3" s="212" t="s">
        <v>0</v>
      </c>
      <c r="T3" s="210" t="s">
        <v>335</v>
      </c>
      <c r="U3" s="211" t="s">
        <v>1</v>
      </c>
      <c r="V3" s="211" t="s">
        <v>0</v>
      </c>
      <c r="W3" s="209" t="s">
        <v>336</v>
      </c>
      <c r="X3" s="211" t="s">
        <v>1</v>
      </c>
      <c r="Y3" s="211" t="s">
        <v>0</v>
      </c>
      <c r="Z3" s="209" t="s">
        <v>337</v>
      </c>
      <c r="AA3" s="211" t="s">
        <v>1</v>
      </c>
      <c r="AB3" s="211" t="s">
        <v>0</v>
      </c>
      <c r="AC3" s="209" t="s">
        <v>338</v>
      </c>
      <c r="AD3" s="211" t="s">
        <v>1</v>
      </c>
      <c r="AE3" s="212" t="s">
        <v>0</v>
      </c>
      <c r="AF3" s="210" t="s">
        <v>339</v>
      </c>
      <c r="AG3" s="211" t="s">
        <v>1</v>
      </c>
      <c r="AH3" s="211" t="s">
        <v>0</v>
      </c>
      <c r="AI3" s="209" t="s">
        <v>340</v>
      </c>
      <c r="AJ3" s="211" t="s">
        <v>1</v>
      </c>
      <c r="AK3" s="211" t="s">
        <v>0</v>
      </c>
      <c r="AL3" s="209" t="s">
        <v>341</v>
      </c>
      <c r="AM3" s="211" t="s">
        <v>1</v>
      </c>
      <c r="AN3" s="211" t="s">
        <v>0</v>
      </c>
      <c r="AO3" s="209" t="s">
        <v>342</v>
      </c>
      <c r="AP3" s="211" t="s">
        <v>1</v>
      </c>
      <c r="AQ3" s="212" t="s">
        <v>0</v>
      </c>
      <c r="AR3" s="210" t="s">
        <v>343</v>
      </c>
      <c r="AS3" s="211" t="s">
        <v>1</v>
      </c>
      <c r="AT3" s="211" t="s">
        <v>0</v>
      </c>
      <c r="AU3" s="209" t="s">
        <v>344</v>
      </c>
      <c r="AV3" s="211" t="s">
        <v>1</v>
      </c>
      <c r="AW3" s="211" t="s">
        <v>0</v>
      </c>
      <c r="AX3" s="209" t="s">
        <v>345</v>
      </c>
      <c r="AY3" s="211" t="s">
        <v>1</v>
      </c>
      <c r="AZ3" s="211" t="s">
        <v>0</v>
      </c>
      <c r="BA3" s="209" t="s">
        <v>346</v>
      </c>
      <c r="BB3" s="211" t="s">
        <v>1</v>
      </c>
      <c r="BC3" s="212" t="s">
        <v>0</v>
      </c>
      <c r="BD3" s="621" t="s">
        <v>312</v>
      </c>
      <c r="BE3" s="622" t="s">
        <v>1</v>
      </c>
      <c r="BF3" s="622" t="s">
        <v>0</v>
      </c>
      <c r="BG3" s="622" t="s">
        <v>313</v>
      </c>
      <c r="BH3" s="622" t="s">
        <v>1</v>
      </c>
      <c r="BI3" s="622" t="s">
        <v>0</v>
      </c>
      <c r="BJ3" s="622" t="s">
        <v>314</v>
      </c>
      <c r="BK3" s="622" t="s">
        <v>1</v>
      </c>
      <c r="BL3" s="622" t="s">
        <v>0</v>
      </c>
      <c r="BM3" s="622" t="s">
        <v>315</v>
      </c>
      <c r="BN3" s="622" t="s">
        <v>1</v>
      </c>
      <c r="BO3" s="623" t="s">
        <v>0</v>
      </c>
      <c r="BP3" s="621" t="s">
        <v>316</v>
      </c>
      <c r="BQ3" s="622" t="s">
        <v>1</v>
      </c>
      <c r="BR3" s="622" t="s">
        <v>0</v>
      </c>
      <c r="BS3" s="622" t="s">
        <v>317</v>
      </c>
      <c r="BT3" s="622" t="s">
        <v>1</v>
      </c>
      <c r="BU3" s="622" t="s">
        <v>0</v>
      </c>
      <c r="BV3" s="622" t="s">
        <v>318</v>
      </c>
      <c r="BW3" s="622" t="s">
        <v>1</v>
      </c>
      <c r="BX3" s="622" t="s">
        <v>0</v>
      </c>
      <c r="BY3" s="622" t="s">
        <v>319</v>
      </c>
      <c r="BZ3" s="622" t="s">
        <v>1</v>
      </c>
      <c r="CA3" s="623" t="s">
        <v>0</v>
      </c>
      <c r="CB3" s="621" t="s">
        <v>214</v>
      </c>
      <c r="CC3" s="622" t="s">
        <v>1</v>
      </c>
      <c r="CD3" s="622" t="s">
        <v>0</v>
      </c>
      <c r="CE3" s="622" t="s">
        <v>235</v>
      </c>
      <c r="CF3" s="622" t="s">
        <v>1</v>
      </c>
      <c r="CG3" s="622" t="s">
        <v>0</v>
      </c>
      <c r="CH3" s="622" t="s">
        <v>236</v>
      </c>
      <c r="CI3" s="622" t="s">
        <v>1</v>
      </c>
      <c r="CJ3" s="622" t="s">
        <v>0</v>
      </c>
      <c r="CK3" s="622" t="s">
        <v>237</v>
      </c>
      <c r="CL3" s="622" t="s">
        <v>1</v>
      </c>
      <c r="CM3" s="623" t="s">
        <v>0</v>
      </c>
    </row>
    <row r="4" spans="1:91" s="50" customFormat="1" ht="16.2" customHeight="1" x14ac:dyDescent="0.4">
      <c r="A4" s="156">
        <f>IF(A3="","",A3+1)</f>
        <v>2</v>
      </c>
      <c r="B4" s="47" t="s">
        <v>185</v>
      </c>
      <c r="C4" s="48" t="s">
        <v>215</v>
      </c>
      <c r="D4" s="213">
        <v>8.6300000000000008</v>
      </c>
      <c r="E4" s="214">
        <v>9.7100000000000009</v>
      </c>
      <c r="F4" s="214">
        <v>8.52</v>
      </c>
      <c r="G4" s="215">
        <v>8.01</v>
      </c>
      <c r="H4" s="216">
        <v>9.83</v>
      </c>
      <c r="I4" s="217">
        <f>H4/G4-1</f>
        <v>0.2272159800249689</v>
      </c>
      <c r="J4" s="218">
        <f>H4/D4-1</f>
        <v>0.13904982618771711</v>
      </c>
      <c r="K4" s="219">
        <v>11.46</v>
      </c>
      <c r="L4" s="217">
        <f>K4/H4-1</f>
        <v>0.16581892166836232</v>
      </c>
      <c r="M4" s="218">
        <f>K4/E4-1</f>
        <v>0.18022657054582902</v>
      </c>
      <c r="N4" s="219">
        <v>11.61</v>
      </c>
      <c r="O4" s="217">
        <v>0</v>
      </c>
      <c r="P4" s="218">
        <f>N4/F4-1</f>
        <v>0.36267605633802824</v>
      </c>
      <c r="Q4" s="219">
        <v>14.582000000000001</v>
      </c>
      <c r="R4" s="217">
        <f>Q4/N4-1</f>
        <v>0.25598621877691663</v>
      </c>
      <c r="S4" s="220">
        <f>Q4/G4-1</f>
        <v>0.82047440699126106</v>
      </c>
      <c r="T4" s="216">
        <v>16.193000000000001</v>
      </c>
      <c r="U4" s="217">
        <f>T4/Q4-1</f>
        <v>0.11047867233575648</v>
      </c>
      <c r="V4" s="218">
        <f>T4/H4-1</f>
        <v>0.64730417090539172</v>
      </c>
      <c r="W4" s="219">
        <v>21.561</v>
      </c>
      <c r="X4" s="217">
        <f>W4/T4-1</f>
        <v>0.33150126597912677</v>
      </c>
      <c r="Y4" s="218">
        <f>W4/K4-1</f>
        <v>0.88141361256544482</v>
      </c>
      <c r="Z4" s="219">
        <v>21.058471827999998</v>
      </c>
      <c r="AA4" s="217">
        <f>Z4/W4-1</f>
        <v>-2.3307275729326227E-2</v>
      </c>
      <c r="AB4" s="218">
        <f>Z4/N4-1</f>
        <v>0.81382186287683034</v>
      </c>
      <c r="AC4" s="219">
        <v>22.320528172</v>
      </c>
      <c r="AD4" s="217">
        <f>AC4/Z4-1</f>
        <v>5.9931050757535687E-2</v>
      </c>
      <c r="AE4" s="220">
        <f>AC4/Q4-1</f>
        <v>0.53069045206418863</v>
      </c>
      <c r="AF4" s="216">
        <v>21.428999999999998</v>
      </c>
      <c r="AG4" s="217">
        <f>AF4/AC4-1</f>
        <v>-3.9942073284734314E-2</v>
      </c>
      <c r="AH4" s="218">
        <f>AF4/T4-1</f>
        <v>0.32334959550423004</v>
      </c>
      <c r="AI4" s="219">
        <v>14.590129124000001</v>
      </c>
      <c r="AJ4" s="217">
        <f>AI4/AF4-1</f>
        <v>-0.31914092472817202</v>
      </c>
      <c r="AK4" s="218">
        <f>AI4/W4-1</f>
        <v>-0.32330925634247021</v>
      </c>
      <c r="AL4" s="219">
        <v>19.564</v>
      </c>
      <c r="AM4" s="217">
        <f>AL4/AI4-1</f>
        <v>0.34090657003290259</v>
      </c>
      <c r="AN4" s="218">
        <f>AL4/Z4-1</f>
        <v>-7.0967724543663291E-2</v>
      </c>
      <c r="AO4" s="219">
        <v>20.877870875999996</v>
      </c>
      <c r="AP4" s="217">
        <f>AO4/AL4-1</f>
        <v>6.7157579022694591E-2</v>
      </c>
      <c r="AQ4" s="220">
        <f>AO4/AC4-1</f>
        <v>-6.4633654046311828E-2</v>
      </c>
      <c r="AR4" s="216">
        <v>21.32</v>
      </c>
      <c r="AS4" s="217">
        <f>AR4/AO4-1</f>
        <v>2.1176925876491115E-2</v>
      </c>
      <c r="AT4" s="218">
        <f>AR4/AF4-1</f>
        <v>-5.0865649353678544E-3</v>
      </c>
      <c r="AU4" s="219">
        <v>29.490000000000002</v>
      </c>
      <c r="AV4" s="217">
        <f>AU4/AR4-1</f>
        <v>0.38320825515947465</v>
      </c>
      <c r="AW4" s="218">
        <f>AU4/AI4-1</f>
        <v>1.021229541518621</v>
      </c>
      <c r="AX4" s="219">
        <v>24.466000000000001</v>
      </c>
      <c r="AY4" s="217">
        <f>AX4/AU4-1</f>
        <v>-0.17036283485927439</v>
      </c>
      <c r="AZ4" s="218">
        <f>AX4/AL4-1</f>
        <v>0.25056225720711511</v>
      </c>
      <c r="BA4" s="219">
        <v>25.319999999999993</v>
      </c>
      <c r="BB4" s="217">
        <f>BA4/AX4-1</f>
        <v>3.4905583258399098E-2</v>
      </c>
      <c r="BC4" s="220">
        <f>BA4/AO4-1</f>
        <v>0.2127673434893409</v>
      </c>
      <c r="BD4" s="216">
        <v>35.381</v>
      </c>
      <c r="BE4" s="217">
        <f>BD4/BA4-1</f>
        <v>0.3973538704581363</v>
      </c>
      <c r="BF4" s="218">
        <f>BD4/AR4-1</f>
        <v>0.65952157598499062</v>
      </c>
      <c r="BG4" s="219">
        <v>32.683999999999997</v>
      </c>
      <c r="BH4" s="217">
        <f>BG4/BD4-1</f>
        <v>-7.6227353664396258E-2</v>
      </c>
      <c r="BI4" s="218">
        <f>BG4/AU4-1</f>
        <v>0.10830790098338405</v>
      </c>
      <c r="BJ4" s="219">
        <v>33.268000000000001</v>
      </c>
      <c r="BK4" s="217">
        <f>BJ4/BG4-1</f>
        <v>1.7868070003671521E-2</v>
      </c>
      <c r="BL4" s="218">
        <f>BJ4/AX4-1</f>
        <v>0.35976457124172323</v>
      </c>
      <c r="BM4" s="219">
        <v>40.466999999999999</v>
      </c>
      <c r="BN4" s="217">
        <f>BM4/BJ4-1</f>
        <v>0.21639413249969941</v>
      </c>
      <c r="BO4" s="220">
        <f>BM4/BA4-1</f>
        <v>0.59822274881516635</v>
      </c>
      <c r="BP4" s="216">
        <v>38.973999999999997</v>
      </c>
      <c r="BQ4" s="217">
        <f>BP4/BM4-1</f>
        <v>-3.6894259520102834E-2</v>
      </c>
      <c r="BR4" s="218">
        <f>BP4/BD4-1</f>
        <v>0.10155168028037642</v>
      </c>
      <c r="BS4" s="219">
        <v>45.898000000000003</v>
      </c>
      <c r="BT4" s="217">
        <f>BS4/BP4-1</f>
        <v>0.1776568994714427</v>
      </c>
      <c r="BU4" s="218">
        <f>BS4/BG4-1</f>
        <v>0.40429567984334858</v>
      </c>
      <c r="BV4" s="219">
        <v>48.246000000000002</v>
      </c>
      <c r="BW4" s="217">
        <f>BV4/BS4-1</f>
        <v>5.1156913155257389E-2</v>
      </c>
      <c r="BX4" s="218">
        <f>BV4/BJ4-1</f>
        <v>0.45022243597451017</v>
      </c>
      <c r="BY4" s="219">
        <v>47.005000000000003</v>
      </c>
      <c r="BZ4" s="217">
        <f>BY4/BV4-1</f>
        <v>-2.5722339675828043E-2</v>
      </c>
      <c r="CA4" s="220">
        <f>BY4/BM4-1</f>
        <v>0.16156374329700762</v>
      </c>
      <c r="CB4" s="216">
        <v>50.378999999999998</v>
      </c>
      <c r="CC4" s="217">
        <f>CB4/BY4-1</f>
        <v>7.1779597915115234E-2</v>
      </c>
      <c r="CD4" s="218">
        <f>CB4/BP4-1</f>
        <v>0.29263098475907023</v>
      </c>
      <c r="CE4" s="219">
        <v>58.741</v>
      </c>
      <c r="CF4" s="217">
        <f>CE4/CB4-1</f>
        <v>0.1659818575199985</v>
      </c>
      <c r="CG4" s="218">
        <f>CE4/BS4-1</f>
        <v>0.27981611399189488</v>
      </c>
      <c r="CH4" s="219">
        <v>59.414000000000001</v>
      </c>
      <c r="CI4" s="217">
        <f>CH4/CE4-1</f>
        <v>1.1457074275208257E-2</v>
      </c>
      <c r="CJ4" s="218">
        <f>CH4/BV4-1</f>
        <v>0.23148032997554191</v>
      </c>
      <c r="CK4" s="219">
        <v>74.403832253000004</v>
      </c>
      <c r="CL4" s="217">
        <f>CK4/CH4-1</f>
        <v>0.25229461495607097</v>
      </c>
      <c r="CM4" s="220">
        <f>CK4/BY4-1</f>
        <v>0.58289186795021797</v>
      </c>
    </row>
    <row r="5" spans="1:91" s="58" customFormat="1" ht="16.2" customHeight="1" x14ac:dyDescent="0.4">
      <c r="A5" s="156">
        <f t="shared" ref="A5:A24" si="0">IF(A4="","",A4+1)</f>
        <v>3</v>
      </c>
      <c r="B5" s="53" t="s">
        <v>190</v>
      </c>
      <c r="C5" s="54" t="s">
        <v>63</v>
      </c>
      <c r="D5" s="221">
        <v>-2.56</v>
      </c>
      <c r="E5" s="222">
        <v>-3.45</v>
      </c>
      <c r="F5" s="222">
        <v>-2.57</v>
      </c>
      <c r="G5" s="223">
        <v>-2.12</v>
      </c>
      <c r="H5" s="224">
        <v>-3.49</v>
      </c>
      <c r="I5" s="225">
        <f>H5/G5-1</f>
        <v>0.64622641509433953</v>
      </c>
      <c r="J5" s="226">
        <f>H5/D5-1</f>
        <v>0.36328125</v>
      </c>
      <c r="K5" s="227">
        <v>-2.98</v>
      </c>
      <c r="L5" s="225">
        <f>K5/H5-1</f>
        <v>-0.14613180515759316</v>
      </c>
      <c r="M5" s="226">
        <f>K5/E5-1</f>
        <v>-0.13623188405797104</v>
      </c>
      <c r="N5" s="227">
        <v>-3.07</v>
      </c>
      <c r="O5" s="225">
        <f>N5/K5-1</f>
        <v>3.0201342281879207E-2</v>
      </c>
      <c r="P5" s="226">
        <f>N5/F5-1</f>
        <v>0.19455252918287935</v>
      </c>
      <c r="Q5" s="227">
        <v>-3.1939999999999995</v>
      </c>
      <c r="R5" s="225">
        <f>Q5/N5-1</f>
        <v>4.0390879478827246E-2</v>
      </c>
      <c r="S5" s="228">
        <f>Q5/G5-1</f>
        <v>0.50660377358490538</v>
      </c>
      <c r="T5" s="224">
        <v>-3.9180000000000001</v>
      </c>
      <c r="U5" s="225">
        <f>T5/Q5-1</f>
        <v>0.22667501565435222</v>
      </c>
      <c r="V5" s="226">
        <f>T5/H5-1</f>
        <v>0.12263610315186235</v>
      </c>
      <c r="W5" s="227">
        <v>-5.2859999999999996</v>
      </c>
      <c r="X5" s="225">
        <f>W5/T5-1</f>
        <v>0.34915773353751889</v>
      </c>
      <c r="Y5" s="226">
        <f>W5/K5-1</f>
        <v>0.77382550335570466</v>
      </c>
      <c r="Z5" s="227">
        <v>-4.00888153</v>
      </c>
      <c r="AA5" s="225">
        <f>Z5/W5-1</f>
        <v>-0.241603948164964</v>
      </c>
      <c r="AB5" s="226">
        <f>Z5/N5-1</f>
        <v>0.3058246026058633</v>
      </c>
      <c r="AC5" s="227">
        <v>-4.0151184700000027</v>
      </c>
      <c r="AD5" s="225">
        <f>AC5/Z5-1</f>
        <v>1.5557805720447515E-3</v>
      </c>
      <c r="AE5" s="228">
        <f>AC5/Q5-1</f>
        <v>0.25708154978084008</v>
      </c>
      <c r="AF5" s="224">
        <v>-3.91</v>
      </c>
      <c r="AG5" s="225">
        <f>AF5/AC5-1</f>
        <v>-2.6180664601909598E-2</v>
      </c>
      <c r="AH5" s="226">
        <f>AF5/T5-1</f>
        <v>-2.0418580908626582E-3</v>
      </c>
      <c r="AI5" s="227">
        <v>-3.1878267990000002</v>
      </c>
      <c r="AJ5" s="225">
        <f>AI5/AF5-1</f>
        <v>-0.18469902838874674</v>
      </c>
      <c r="AK5" s="226">
        <f>AI5/W5-1</f>
        <v>-0.39693023098751412</v>
      </c>
      <c r="AL5" s="227">
        <v>-3.5750000000000002</v>
      </c>
      <c r="AM5" s="225">
        <f>AL5/AI5-1</f>
        <v>0.12145365021758825</v>
      </c>
      <c r="AN5" s="226">
        <f>AL5/Z5-1</f>
        <v>-0.10823007034583032</v>
      </c>
      <c r="AO5" s="227">
        <v>-4.8281732009999994</v>
      </c>
      <c r="AP5" s="225">
        <f>AO5/AL5-1</f>
        <v>0.35053795832167811</v>
      </c>
      <c r="AQ5" s="228">
        <f>AO5/AC5-1</f>
        <v>0.20249831656897443</v>
      </c>
      <c r="AR5" s="224">
        <v>-4.5940000000000003</v>
      </c>
      <c r="AS5" s="225">
        <f>AR5/AO5-1</f>
        <v>-4.850140855582763E-2</v>
      </c>
      <c r="AT5" s="226">
        <f>AR5/AF5-1</f>
        <v>0.1749360613810742</v>
      </c>
      <c r="AU5" s="227">
        <v>-6.4</v>
      </c>
      <c r="AV5" s="225">
        <f>AU5/AR5-1</f>
        <v>0.3931214627775359</v>
      </c>
      <c r="AW5" s="226">
        <f>AU5/AI5-1</f>
        <v>1.0076373038860322</v>
      </c>
      <c r="AX5" s="227">
        <v>-5.3129999999999997</v>
      </c>
      <c r="AY5" s="225">
        <f>AX5/AU5-1</f>
        <v>-0.16984375000000007</v>
      </c>
      <c r="AZ5" s="226">
        <f>AX5/AL5-1</f>
        <v>0.48615384615384594</v>
      </c>
      <c r="BA5" s="227">
        <v>-6.4370000000000003</v>
      </c>
      <c r="BB5" s="225">
        <f>BA5/AX5-1</f>
        <v>0.2115565593826465</v>
      </c>
      <c r="BC5" s="228">
        <f>BA5/AO5-1</f>
        <v>0.33321646345801859</v>
      </c>
      <c r="BD5" s="224">
        <v>-8.8000000000000007</v>
      </c>
      <c r="BE5" s="225">
        <f>BD5/BA5-1</f>
        <v>0.36709647351250596</v>
      </c>
      <c r="BF5" s="226">
        <f>BD5/AR5-1</f>
        <v>0.91554201131911195</v>
      </c>
      <c r="BG5" s="227">
        <v>-8.2769999999999992</v>
      </c>
      <c r="BH5" s="225">
        <f>BG5/BD5-1</f>
        <v>-5.9431818181818308E-2</v>
      </c>
      <c r="BI5" s="226">
        <f>BG5/AU5-1</f>
        <v>0.29328124999999972</v>
      </c>
      <c r="BJ5" s="227">
        <v>-7.3170000000000002</v>
      </c>
      <c r="BK5" s="225">
        <f>BJ5/BG5-1</f>
        <v>-0.11598405219282337</v>
      </c>
      <c r="BL5" s="226">
        <f>BJ5/AX5-1</f>
        <v>0.37718802936194251</v>
      </c>
      <c r="BM5" s="227">
        <v>-9.2409999999999997</v>
      </c>
      <c r="BN5" s="225">
        <f>BM5/BJ5-1</f>
        <v>0.26294929615962825</v>
      </c>
      <c r="BO5" s="228">
        <f>BM5/BA5-1</f>
        <v>0.43560664906012114</v>
      </c>
      <c r="BP5" s="224">
        <v>-8.7639999999999993</v>
      </c>
      <c r="BQ5" s="225">
        <f>BP5/BM5-1</f>
        <v>-5.1617790282436959E-2</v>
      </c>
      <c r="BR5" s="226">
        <f>BP5/BD5-1</f>
        <v>-4.090909090909256E-3</v>
      </c>
      <c r="BS5" s="227">
        <v>-9.577</v>
      </c>
      <c r="BT5" s="225">
        <f>BS5/BP5-1</f>
        <v>9.2765860337745476E-2</v>
      </c>
      <c r="BU5" s="226">
        <f>BS5/BG5-1</f>
        <v>0.1570617373444485</v>
      </c>
      <c r="BV5" s="227">
        <v>-11.234</v>
      </c>
      <c r="BW5" s="225">
        <f>BV5/BS5-1</f>
        <v>0.17301869061292674</v>
      </c>
      <c r="BX5" s="226">
        <f>BV5/BJ5-1</f>
        <v>0.53532868662019939</v>
      </c>
      <c r="BY5" s="227">
        <v>-10.099</v>
      </c>
      <c r="BZ5" s="225">
        <f>BY5/BV5-1</f>
        <v>-0.10103257966886237</v>
      </c>
      <c r="CA5" s="228">
        <f>BY5/BM5-1</f>
        <v>9.2847094470295488E-2</v>
      </c>
      <c r="CB5" s="224">
        <v>-10.177</v>
      </c>
      <c r="CC5" s="225">
        <f>CB5/BY5-1</f>
        <v>7.7235369838597467E-3</v>
      </c>
      <c r="CD5" s="226">
        <f>CB5/BP5-1</f>
        <v>0.16122774988589694</v>
      </c>
      <c r="CE5" s="227">
        <v>-11.228</v>
      </c>
      <c r="CF5" s="225">
        <f>CE5/CB5-1</f>
        <v>0.10327208411123112</v>
      </c>
      <c r="CG5" s="226">
        <f>CE5/BS5-1</f>
        <v>0.17239218962096681</v>
      </c>
      <c r="CH5" s="227">
        <v>-12.814</v>
      </c>
      <c r="CI5" s="225">
        <f>CH5/CE5-1</f>
        <v>0.14125400783754904</v>
      </c>
      <c r="CJ5" s="226">
        <f>CH5/BV5-1</f>
        <v>0.14064447213815212</v>
      </c>
      <c r="CK5" s="227">
        <f>-(CK4-CK7)</f>
        <v>-17.592629616000004</v>
      </c>
      <c r="CL5" s="225">
        <f>CK5/CH5-1</f>
        <v>0.37292255470579083</v>
      </c>
      <c r="CM5" s="228">
        <f>CK5/BY5-1</f>
        <v>0.74201699336568017</v>
      </c>
    </row>
    <row r="6" spans="1:91" s="58" customFormat="1" ht="16.2" customHeight="1" x14ac:dyDescent="0.4">
      <c r="A6" s="156">
        <f t="shared" si="0"/>
        <v>4</v>
      </c>
      <c r="B6" s="59" t="s">
        <v>80</v>
      </c>
      <c r="C6" s="60" t="s">
        <v>125</v>
      </c>
      <c r="D6" s="229">
        <f t="shared" ref="D6:G6" si="1">IFERROR(D5/(-D$4),)</f>
        <v>0.29663962920046349</v>
      </c>
      <c r="E6" s="230">
        <f t="shared" si="1"/>
        <v>0.35530381050463439</v>
      </c>
      <c r="F6" s="230">
        <f t="shared" si="1"/>
        <v>0.30164319248826293</v>
      </c>
      <c r="G6" s="231">
        <f t="shared" si="1"/>
        <v>0.26466916354556808</v>
      </c>
      <c r="H6" s="232">
        <f>IFERROR(H5/(-H$4),)</f>
        <v>0.35503560528992884</v>
      </c>
      <c r="I6" s="225"/>
      <c r="J6" s="226"/>
      <c r="K6" s="233">
        <f>IFERROR(K5/(-K$4),)</f>
        <v>0.26003490401396157</v>
      </c>
      <c r="L6" s="225"/>
      <c r="M6" s="226"/>
      <c r="N6" s="233">
        <f>IFERROR(N5/(-N$4),)</f>
        <v>0.26442721791558998</v>
      </c>
      <c r="O6" s="225"/>
      <c r="P6" s="226"/>
      <c r="Q6" s="233">
        <f>IFERROR(Q5/(-Q$4),)</f>
        <v>0.21903716911260454</v>
      </c>
      <c r="R6" s="225"/>
      <c r="S6" s="228"/>
      <c r="T6" s="232">
        <f>IFERROR(T5/(-T$4),)</f>
        <v>0.24195640091397516</v>
      </c>
      <c r="U6" s="225"/>
      <c r="V6" s="226"/>
      <c r="W6" s="233">
        <f>IFERROR(W5/(-W$4),)</f>
        <v>0.24516488103520243</v>
      </c>
      <c r="X6" s="225"/>
      <c r="Y6" s="226"/>
      <c r="Z6" s="233">
        <f>IFERROR(Z5/(-Z$4),)</f>
        <v>0.19036906204512269</v>
      </c>
      <c r="AA6" s="225"/>
      <c r="AB6" s="226"/>
      <c r="AC6" s="233">
        <f>IFERROR(AC5/(-AC$4),)</f>
        <v>0.17988456362053165</v>
      </c>
      <c r="AD6" s="225"/>
      <c r="AE6" s="228"/>
      <c r="AF6" s="232">
        <f>IFERROR(AF5/(-AF$4),)</f>
        <v>0.18246301740631857</v>
      </c>
      <c r="AG6" s="225"/>
      <c r="AH6" s="226"/>
      <c r="AI6" s="233">
        <f>IFERROR(AI5/(-AI$4),)</f>
        <v>0.21849202100317203</v>
      </c>
      <c r="AJ6" s="225"/>
      <c r="AK6" s="226"/>
      <c r="AL6" s="233">
        <f>IFERROR(AL5/(-AL$4),)</f>
        <v>0.18273359231241057</v>
      </c>
      <c r="AM6" s="225"/>
      <c r="AN6" s="226"/>
      <c r="AO6" s="233">
        <f>IFERROR(AO5/(-AO$4),)</f>
        <v>0.23125792997169028</v>
      </c>
      <c r="AP6" s="225"/>
      <c r="AQ6" s="228"/>
      <c r="AR6" s="232">
        <f>IFERROR(AR5/(-AR$4),)</f>
        <v>0.21547842401500938</v>
      </c>
      <c r="AS6" s="225"/>
      <c r="AT6" s="226"/>
      <c r="AU6" s="233">
        <f>IFERROR(AU5/(-AU$4),)</f>
        <v>0.21702271956595456</v>
      </c>
      <c r="AV6" s="225"/>
      <c r="AW6" s="226"/>
      <c r="AX6" s="233">
        <f>IFERROR(AX5/(-AX$4),)</f>
        <v>0.2171585056813537</v>
      </c>
      <c r="AY6" s="225"/>
      <c r="AZ6" s="226"/>
      <c r="BA6" s="233">
        <f>IFERROR(BA5/(-BA$4),)</f>
        <v>0.25422590837282788</v>
      </c>
      <c r="BB6" s="225"/>
      <c r="BC6" s="228"/>
      <c r="BD6" s="232">
        <f>IFERROR(BD5/(-BD$4),)</f>
        <v>0.24872106497837823</v>
      </c>
      <c r="BE6" s="225"/>
      <c r="BF6" s="226"/>
      <c r="BG6" s="233">
        <f>IFERROR(BG5/(-BG$4),)</f>
        <v>0.25324317708970751</v>
      </c>
      <c r="BH6" s="225"/>
      <c r="BI6" s="226"/>
      <c r="BJ6" s="233">
        <f>IFERROR(BJ5/(-BJ$4),)</f>
        <v>0.21994108452567032</v>
      </c>
      <c r="BK6" s="225"/>
      <c r="BL6" s="226"/>
      <c r="BM6" s="233">
        <f>IFERROR(BM5/(-BM$4),)</f>
        <v>0.22835890972891493</v>
      </c>
      <c r="BN6" s="225"/>
      <c r="BO6" s="228"/>
      <c r="BP6" s="232">
        <f>IFERROR(BP5/(-BP$4),)</f>
        <v>0.22486786062503208</v>
      </c>
      <c r="BQ6" s="225"/>
      <c r="BR6" s="226"/>
      <c r="BS6" s="233">
        <f>IFERROR(BS5/(-BS$4),)</f>
        <v>0.208658329338969</v>
      </c>
      <c r="BT6" s="225"/>
      <c r="BU6" s="226"/>
      <c r="BV6" s="233">
        <f>IFERROR(BV5/(-BV$4),)</f>
        <v>0.23284831903162956</v>
      </c>
      <c r="BW6" s="225"/>
      <c r="BX6" s="226"/>
      <c r="BY6" s="233">
        <f>IFERROR(BY5/(-BY$4),)</f>
        <v>0.21484948409743643</v>
      </c>
      <c r="BZ6" s="225"/>
      <c r="CA6" s="228"/>
      <c r="CB6" s="232">
        <f>IFERROR(CB5/(-CB$4),)</f>
        <v>0.20200877349689356</v>
      </c>
      <c r="CC6" s="225"/>
      <c r="CD6" s="226"/>
      <c r="CE6" s="233">
        <f>IFERROR(CE5/(-CE$4),)</f>
        <v>0.19114417527791491</v>
      </c>
      <c r="CF6" s="225"/>
      <c r="CG6" s="226"/>
      <c r="CH6" s="233">
        <f>IFERROR(CH5/(-CH$4),)</f>
        <v>0.21567307368633654</v>
      </c>
      <c r="CI6" s="225"/>
      <c r="CJ6" s="226"/>
      <c r="CK6" s="233">
        <f>ABS(CK5/CK$4)</f>
        <v>0.23644789634193417</v>
      </c>
      <c r="CL6" s="225"/>
      <c r="CM6" s="228"/>
    </row>
    <row r="7" spans="1:91" s="21" customFormat="1" ht="16.2" customHeight="1" x14ac:dyDescent="0.4">
      <c r="A7" s="156">
        <f t="shared" si="0"/>
        <v>5</v>
      </c>
      <c r="B7" s="61" t="s">
        <v>191</v>
      </c>
      <c r="C7" s="62" t="s">
        <v>347</v>
      </c>
      <c r="D7" s="234">
        <f t="shared" ref="D7:G7" si="2">D4+D5</f>
        <v>6.07</v>
      </c>
      <c r="E7" s="235">
        <f t="shared" si="2"/>
        <v>6.2600000000000007</v>
      </c>
      <c r="F7" s="235">
        <f t="shared" si="2"/>
        <v>5.9499999999999993</v>
      </c>
      <c r="G7" s="236">
        <f t="shared" si="2"/>
        <v>5.89</v>
      </c>
      <c r="H7" s="237">
        <f>H4+H5</f>
        <v>6.34</v>
      </c>
      <c r="I7" s="217">
        <f>H7/G7-1</f>
        <v>7.6400679117147652E-2</v>
      </c>
      <c r="J7" s="218">
        <f>H7/D7-1</f>
        <v>4.4481054365733019E-2</v>
      </c>
      <c r="K7" s="238">
        <f>K4+K5</f>
        <v>8.48</v>
      </c>
      <c r="L7" s="217">
        <f>K7/H7-1</f>
        <v>0.33753943217665627</v>
      </c>
      <c r="M7" s="218">
        <f>K7/E7-1</f>
        <v>0.35463258785942475</v>
      </c>
      <c r="N7" s="238">
        <f>N4+N5</f>
        <v>8.5399999999999991</v>
      </c>
      <c r="O7" s="217">
        <f>N7/K7-1</f>
        <v>7.0754716981129562E-3</v>
      </c>
      <c r="P7" s="218">
        <f>N7/F7-1</f>
        <v>0.43529411764705883</v>
      </c>
      <c r="Q7" s="238">
        <f>Q4+Q5</f>
        <v>11.388000000000002</v>
      </c>
      <c r="R7" s="217">
        <f>Q7/N7-1</f>
        <v>0.33348946135831414</v>
      </c>
      <c r="S7" s="220">
        <f>Q7/G7-1</f>
        <v>0.93344651952461843</v>
      </c>
      <c r="T7" s="237">
        <f>T4+T5</f>
        <v>12.275000000000002</v>
      </c>
      <c r="U7" s="217">
        <f>T7/Q7-1</f>
        <v>7.7889005971197856E-2</v>
      </c>
      <c r="V7" s="218">
        <f>T7/H7-1</f>
        <v>0.9361198738170351</v>
      </c>
      <c r="W7" s="238">
        <f>W4+W5</f>
        <v>16.274999999999999</v>
      </c>
      <c r="X7" s="217">
        <f>W7/T7-1</f>
        <v>0.3258655804480648</v>
      </c>
      <c r="Y7" s="218">
        <f>W7/K7-1</f>
        <v>0.91922169811320731</v>
      </c>
      <c r="Z7" s="238">
        <f>Z4+Z5</f>
        <v>17.049590297999998</v>
      </c>
      <c r="AA7" s="217">
        <f>Z7/W7-1</f>
        <v>4.7593873917050722E-2</v>
      </c>
      <c r="AB7" s="218">
        <f>Z7/N7-1</f>
        <v>0.99643914496487129</v>
      </c>
      <c r="AC7" s="238">
        <f>AC4+AC5</f>
        <v>18.305409701999999</v>
      </c>
      <c r="AD7" s="217">
        <f>AC7/Z7-1</f>
        <v>7.3656866942269916E-2</v>
      </c>
      <c r="AE7" s="220">
        <f>AC7/Q7-1</f>
        <v>0.60742972444678567</v>
      </c>
      <c r="AF7" s="237">
        <f>AF4+AF5</f>
        <v>17.518999999999998</v>
      </c>
      <c r="AG7" s="217">
        <f>AF7/AC7-1</f>
        <v>-4.2960508112204643E-2</v>
      </c>
      <c r="AH7" s="218">
        <f>AF7/T7-1</f>
        <v>0.42720977596741316</v>
      </c>
      <c r="AI7" s="238">
        <f>AI4+AI5</f>
        <v>11.402302325000001</v>
      </c>
      <c r="AJ7" s="217">
        <f>AI7/AF7-1</f>
        <v>-0.34914650807694492</v>
      </c>
      <c r="AK7" s="218">
        <f>AI7/W7-1</f>
        <v>-0.29939770660522258</v>
      </c>
      <c r="AL7" s="238">
        <f>AL4+AL5</f>
        <v>15.989000000000001</v>
      </c>
      <c r="AM7" s="217">
        <f>AL7/AI7-1</f>
        <v>0.40226066142304284</v>
      </c>
      <c r="AN7" s="218">
        <f>AL7/Z7-1</f>
        <v>-6.2206204340547133E-2</v>
      </c>
      <c r="AO7" s="238">
        <f>AO4+AO5</f>
        <v>16.049697674999997</v>
      </c>
      <c r="AP7" s="217">
        <f>AO7/AL7-1</f>
        <v>3.7962145850269913E-3</v>
      </c>
      <c r="AQ7" s="220">
        <f>AO7/AC7-1</f>
        <v>-0.12322652503940124</v>
      </c>
      <c r="AR7" s="237">
        <f>AR4+AR5</f>
        <v>16.725999999999999</v>
      </c>
      <c r="AS7" s="217">
        <f>AR7/AO7-1</f>
        <v>4.2138010241367541E-2</v>
      </c>
      <c r="AT7" s="218">
        <f>AR7/AF7-1</f>
        <v>-4.5265140704378037E-2</v>
      </c>
      <c r="AU7" s="238">
        <f>AU4+AU5</f>
        <v>23.090000000000003</v>
      </c>
      <c r="AV7" s="217">
        <f>AU7/AR7-1</f>
        <v>0.38048547172067471</v>
      </c>
      <c r="AW7" s="218">
        <f>AU7/AI7-1</f>
        <v>1.0250296248832362</v>
      </c>
      <c r="AX7" s="238">
        <f>AX4+AX5</f>
        <v>19.153000000000002</v>
      </c>
      <c r="AY7" s="217">
        <f>AX7/AU7-1</f>
        <v>-0.17050671286271113</v>
      </c>
      <c r="AZ7" s="218">
        <f>AX7/AL7-1</f>
        <v>0.19788604665707688</v>
      </c>
      <c r="BA7" s="238">
        <f>BA4+BA5</f>
        <v>18.882999999999992</v>
      </c>
      <c r="BB7" s="217">
        <f>BA7/AX7-1</f>
        <v>-1.4097008301572123E-2</v>
      </c>
      <c r="BC7" s="220">
        <f>BA7/AO7-1</f>
        <v>0.17653306513139633</v>
      </c>
      <c r="BD7" s="237">
        <f>BD4+BD5</f>
        <v>26.581</v>
      </c>
      <c r="BE7" s="217">
        <f>BD7/BA7-1</f>
        <v>0.40766827304983377</v>
      </c>
      <c r="BF7" s="218">
        <f>BD7/AR7-1</f>
        <v>0.58920243931603489</v>
      </c>
      <c r="BG7" s="238">
        <f>BG4+BG5</f>
        <v>24.406999999999996</v>
      </c>
      <c r="BH7" s="217">
        <f>BG7/BD7-1</f>
        <v>-8.1787743124788537E-2</v>
      </c>
      <c r="BI7" s="218">
        <f>BG7/AU7-1</f>
        <v>5.7037678648765411E-2</v>
      </c>
      <c r="BJ7" s="238">
        <f>BJ4+BJ5</f>
        <v>25.951000000000001</v>
      </c>
      <c r="BK7" s="217">
        <f>BJ7/BG7-1</f>
        <v>6.3260540009014044E-2</v>
      </c>
      <c r="BL7" s="218">
        <f>BJ7/AX7-1</f>
        <v>0.35493134234845702</v>
      </c>
      <c r="BM7" s="238">
        <f>BM4+BM5</f>
        <v>31.225999999999999</v>
      </c>
      <c r="BN7" s="217">
        <f>BM7/BJ7-1</f>
        <v>0.20326769681322476</v>
      </c>
      <c r="BO7" s="220">
        <f>BM7/BA7-1</f>
        <v>0.6536567282741097</v>
      </c>
      <c r="BP7" s="237">
        <f>BP4+BP5</f>
        <v>30.209999999999997</v>
      </c>
      <c r="BQ7" s="217">
        <f>BP7/BM7-1</f>
        <v>-3.2536988407096734E-2</v>
      </c>
      <c r="BR7" s="218">
        <f>BP7/BD7-1</f>
        <v>0.1365260900643317</v>
      </c>
      <c r="BS7" s="238">
        <f>BS4+BS5</f>
        <v>36.321000000000005</v>
      </c>
      <c r="BT7" s="217">
        <f>BS7/BP7-1</f>
        <v>0.20228401191658429</v>
      </c>
      <c r="BU7" s="218">
        <f>BS7/BG7-1</f>
        <v>0.48813864874831037</v>
      </c>
      <c r="BV7" s="238">
        <f>BV4+BV5</f>
        <v>37.012</v>
      </c>
      <c r="BW7" s="217">
        <f>BV7/BS7-1</f>
        <v>1.9024806585721699E-2</v>
      </c>
      <c r="BX7" s="218">
        <f>BV7/BJ7-1</f>
        <v>0.42622634965897266</v>
      </c>
      <c r="BY7" s="238">
        <f>BY4+BY5</f>
        <v>36.906000000000006</v>
      </c>
      <c r="BZ7" s="217">
        <f>BY7/BV7-1</f>
        <v>-2.8639360207498576E-3</v>
      </c>
      <c r="CA7" s="220">
        <f>BY7/BM7-1</f>
        <v>0.1818996989688082</v>
      </c>
      <c r="CB7" s="237">
        <f>CB4+CB5</f>
        <v>40.201999999999998</v>
      </c>
      <c r="CC7" s="217">
        <f>CB7/BY7-1</f>
        <v>8.9307971603532987E-2</v>
      </c>
      <c r="CD7" s="218">
        <f>CB7/BP7-1</f>
        <v>0.33075140681893411</v>
      </c>
      <c r="CE7" s="238">
        <f>CE4+CE5</f>
        <v>47.512999999999998</v>
      </c>
      <c r="CF7" s="217">
        <f>CE7/CB7-1</f>
        <v>0.18185662404855485</v>
      </c>
      <c r="CG7" s="218">
        <f>CE7/BS7-1</f>
        <v>0.30814129566917181</v>
      </c>
      <c r="CH7" s="238">
        <f>CH4+CH5</f>
        <v>46.6</v>
      </c>
      <c r="CI7" s="217">
        <f>CH7/CE7-1</f>
        <v>-1.9215793572285422E-2</v>
      </c>
      <c r="CJ7" s="218">
        <f>CH7/BV7-1</f>
        <v>0.25905111855614393</v>
      </c>
      <c r="CK7" s="238">
        <v>56.811202637000001</v>
      </c>
      <c r="CL7" s="217">
        <f>CK7/CH7-1</f>
        <v>0.21912452010729622</v>
      </c>
      <c r="CM7" s="220">
        <f>CK7/BY7-1</f>
        <v>0.5393486868530859</v>
      </c>
    </row>
    <row r="8" spans="1:91" s="201" customFormat="1" ht="16.2" customHeight="1" x14ac:dyDescent="0.4">
      <c r="A8" s="156">
        <f t="shared" si="0"/>
        <v>6</v>
      </c>
      <c r="B8" s="199" t="s">
        <v>80</v>
      </c>
      <c r="C8" s="200" t="s">
        <v>80</v>
      </c>
      <c r="D8" s="239">
        <f>D7/D$4</f>
        <v>0.70336037079953651</v>
      </c>
      <c r="E8" s="240">
        <f>E7/E$4</f>
        <v>0.64469618949536567</v>
      </c>
      <c r="F8" s="240">
        <f>F7/F$4</f>
        <v>0.69835680751173701</v>
      </c>
      <c r="G8" s="241">
        <f>G7/G$4</f>
        <v>0.73533083645443198</v>
      </c>
      <c r="H8" s="242">
        <f>H7/H$4</f>
        <v>0.64496439471007116</v>
      </c>
      <c r="I8" s="241"/>
      <c r="J8" s="240"/>
      <c r="K8" s="243">
        <f>K7/K$4</f>
        <v>0.73996509598603832</v>
      </c>
      <c r="L8" s="241"/>
      <c r="M8" s="240"/>
      <c r="N8" s="243">
        <f>N7/N$4</f>
        <v>0.7355727820844099</v>
      </c>
      <c r="O8" s="241"/>
      <c r="P8" s="240"/>
      <c r="Q8" s="243">
        <f>Q7/Q$4</f>
        <v>0.78096283088739549</v>
      </c>
      <c r="R8" s="241"/>
      <c r="S8" s="244"/>
      <c r="T8" s="242">
        <f>T7/T$4</f>
        <v>0.75804359908602492</v>
      </c>
      <c r="U8" s="241"/>
      <c r="V8" s="240"/>
      <c r="W8" s="243">
        <f>W7/W$4</f>
        <v>0.75483511896479749</v>
      </c>
      <c r="X8" s="241"/>
      <c r="Y8" s="240"/>
      <c r="Z8" s="243">
        <f>Z7/Z$4</f>
        <v>0.80963093795487728</v>
      </c>
      <c r="AA8" s="241"/>
      <c r="AB8" s="240"/>
      <c r="AC8" s="243">
        <f>AC7/AC$4</f>
        <v>0.82011543637946849</v>
      </c>
      <c r="AD8" s="241"/>
      <c r="AE8" s="244"/>
      <c r="AF8" s="242">
        <f>AF7/AF$4</f>
        <v>0.81753698259368146</v>
      </c>
      <c r="AG8" s="241"/>
      <c r="AH8" s="240"/>
      <c r="AI8" s="243">
        <f>AI7/AI$4</f>
        <v>0.781507978996828</v>
      </c>
      <c r="AJ8" s="241"/>
      <c r="AK8" s="240"/>
      <c r="AL8" s="243">
        <f>AL7/AL$4</f>
        <v>0.81726640768758951</v>
      </c>
      <c r="AM8" s="241"/>
      <c r="AN8" s="240"/>
      <c r="AO8" s="243">
        <f>AO7/AO$4</f>
        <v>0.76874207002830974</v>
      </c>
      <c r="AP8" s="241"/>
      <c r="AQ8" s="244"/>
      <c r="AR8" s="242">
        <f>AR7/AR$4</f>
        <v>0.78452157598499062</v>
      </c>
      <c r="AS8" s="241"/>
      <c r="AT8" s="240"/>
      <c r="AU8" s="243">
        <f>AU7/AU$4</f>
        <v>0.78297728043404546</v>
      </c>
      <c r="AV8" s="241"/>
      <c r="AW8" s="240"/>
      <c r="AX8" s="243">
        <f>AX7/AX$4</f>
        <v>0.78284149431864636</v>
      </c>
      <c r="AY8" s="241"/>
      <c r="AZ8" s="240"/>
      <c r="BA8" s="243">
        <f>BA7/BA$4</f>
        <v>0.74577409162717212</v>
      </c>
      <c r="BB8" s="241"/>
      <c r="BC8" s="244"/>
      <c r="BD8" s="242">
        <f>BD7/BD$4</f>
        <v>0.7512789350216218</v>
      </c>
      <c r="BE8" s="241"/>
      <c r="BF8" s="240"/>
      <c r="BG8" s="243">
        <f>BG7/BG$4</f>
        <v>0.74675682291029244</v>
      </c>
      <c r="BH8" s="241"/>
      <c r="BI8" s="240"/>
      <c r="BJ8" s="243">
        <f>BJ7/BJ$4</f>
        <v>0.78005891547432971</v>
      </c>
      <c r="BK8" s="241"/>
      <c r="BL8" s="240"/>
      <c r="BM8" s="243">
        <f>BM7/BM$4</f>
        <v>0.77164109027108507</v>
      </c>
      <c r="BN8" s="241"/>
      <c r="BO8" s="244"/>
      <c r="BP8" s="242">
        <f>BP7/BP$4</f>
        <v>0.77513213937496794</v>
      </c>
      <c r="BQ8" s="241"/>
      <c r="BR8" s="240"/>
      <c r="BS8" s="243">
        <f>BS7/BS$4</f>
        <v>0.791341670661031</v>
      </c>
      <c r="BT8" s="241"/>
      <c r="BU8" s="240"/>
      <c r="BV8" s="243">
        <f>BV7/BV$4</f>
        <v>0.76715168096837039</v>
      </c>
      <c r="BW8" s="241"/>
      <c r="BX8" s="240"/>
      <c r="BY8" s="243">
        <f>BY7/BY$4</f>
        <v>0.78515051590256368</v>
      </c>
      <c r="BZ8" s="241"/>
      <c r="CA8" s="244"/>
      <c r="CB8" s="242">
        <f>CB7/CB$4</f>
        <v>0.7979912265031065</v>
      </c>
      <c r="CC8" s="241"/>
      <c r="CD8" s="240"/>
      <c r="CE8" s="243">
        <f>CE7/CE$4</f>
        <v>0.80885582472208506</v>
      </c>
      <c r="CF8" s="241"/>
      <c r="CG8" s="240"/>
      <c r="CH8" s="243">
        <f>CH7/CH$4</f>
        <v>0.78432692631366341</v>
      </c>
      <c r="CI8" s="241"/>
      <c r="CJ8" s="240"/>
      <c r="CK8" s="243">
        <f>ABS(CK7/CK$4)</f>
        <v>0.76355210365806581</v>
      </c>
      <c r="CL8" s="241"/>
      <c r="CM8" s="244"/>
    </row>
    <row r="9" spans="1:91" s="71" customFormat="1" ht="16.2" customHeight="1" x14ac:dyDescent="0.4">
      <c r="A9" s="156">
        <f t="shared" si="0"/>
        <v>7</v>
      </c>
      <c r="B9" s="69" t="s">
        <v>192</v>
      </c>
      <c r="C9" s="70" t="s">
        <v>4</v>
      </c>
      <c r="D9" s="245">
        <v>-3.02</v>
      </c>
      <c r="E9" s="246">
        <v>-3.1</v>
      </c>
      <c r="F9" s="246">
        <v>-3.2</v>
      </c>
      <c r="G9" s="247">
        <v>-4.05</v>
      </c>
      <c r="H9" s="248">
        <v>-3.76</v>
      </c>
      <c r="I9" s="225">
        <f>H9/G9-1</f>
        <v>-7.1604938271604968E-2</v>
      </c>
      <c r="J9" s="226">
        <f>H9/D9-1</f>
        <v>0.24503311258278138</v>
      </c>
      <c r="K9" s="249">
        <v>-4.24</v>
      </c>
      <c r="L9" s="225">
        <f>K9/H9-1</f>
        <v>0.12765957446808529</v>
      </c>
      <c r="M9" s="226">
        <f>K9/E9-1</f>
        <v>0.36774193548387091</v>
      </c>
      <c r="N9" s="249">
        <v>-4.42</v>
      </c>
      <c r="O9" s="225">
        <f>N9/K9-1</f>
        <v>4.2452830188679069E-2</v>
      </c>
      <c r="P9" s="226">
        <f>N9/F9-1</f>
        <v>0.38124999999999987</v>
      </c>
      <c r="Q9" s="249">
        <v>-4.8510000000000009</v>
      </c>
      <c r="R9" s="225">
        <f>Q9/N9-1</f>
        <v>9.751131221719489E-2</v>
      </c>
      <c r="S9" s="228">
        <f>Q9/G9-1</f>
        <v>0.19777777777777805</v>
      </c>
      <c r="T9" s="248">
        <v>-4.83</v>
      </c>
      <c r="U9" s="225">
        <f>T9/Q9-1</f>
        <v>-4.3290043290045155E-3</v>
      </c>
      <c r="V9" s="226">
        <f>T9/H9-1</f>
        <v>0.28457446808510656</v>
      </c>
      <c r="W9" s="249">
        <v>-6.7069999999999999</v>
      </c>
      <c r="X9" s="225">
        <f>W9/T9-1</f>
        <v>0.38861283643892341</v>
      </c>
      <c r="Y9" s="226">
        <f>W9/K9-1</f>
        <v>0.58183962264150924</v>
      </c>
      <c r="Z9" s="249">
        <v>-5.28586212</v>
      </c>
      <c r="AA9" s="225">
        <f>Z9/W9-1</f>
        <v>-0.21188875503205606</v>
      </c>
      <c r="AB9" s="226">
        <f>Z9/N9-1</f>
        <v>0.19589640723981905</v>
      </c>
      <c r="AC9" s="249">
        <v>-5.3721378800000013</v>
      </c>
      <c r="AD9" s="225">
        <f>AC9/Z9-1</f>
        <v>1.6321984577229331E-2</v>
      </c>
      <c r="AE9" s="228">
        <f>AC9/Q9-1</f>
        <v>0.10742895897753058</v>
      </c>
      <c r="AF9" s="248">
        <v>-4.085</v>
      </c>
      <c r="AG9" s="225">
        <f>AF9/AC9-1</f>
        <v>-0.23959509393679246</v>
      </c>
      <c r="AH9" s="226">
        <f>AF9/T9-1</f>
        <v>-0.15424430641821951</v>
      </c>
      <c r="AI9" s="249">
        <v>-5.0350405629999999</v>
      </c>
      <c r="AJ9" s="225">
        <f>AI9/AF9-1</f>
        <v>0.23256806927784579</v>
      </c>
      <c r="AK9" s="226">
        <f>AI9/W9-1</f>
        <v>-0.24928573684210531</v>
      </c>
      <c r="AL9" s="249">
        <v>-4.1239999999999997</v>
      </c>
      <c r="AM9" s="225">
        <f>AL9/AI9-1</f>
        <v>-0.18094006425584386</v>
      </c>
      <c r="AN9" s="226">
        <f>AL9/Z9-1</f>
        <v>-0.21980560476670175</v>
      </c>
      <c r="AO9" s="249">
        <v>-7.1059594370000019</v>
      </c>
      <c r="AP9" s="225">
        <f>AO9/AL9-1</f>
        <v>0.72307454825412276</v>
      </c>
      <c r="AQ9" s="228">
        <f>AO9/AC9-1</f>
        <v>0.32274330922422267</v>
      </c>
      <c r="AR9" s="248">
        <v>-5.8310000000000004</v>
      </c>
      <c r="AS9" s="225">
        <f>AR9/AO9-1</f>
        <v>-0.17942115323110608</v>
      </c>
      <c r="AT9" s="226">
        <f>AR9/AF9-1</f>
        <v>0.42741738066095492</v>
      </c>
      <c r="AU9" s="249">
        <v>-7</v>
      </c>
      <c r="AV9" s="225">
        <f>AU9/AR9-1</f>
        <v>0.20048019207683065</v>
      </c>
      <c r="AW9" s="226">
        <f>AU9/AI9-1</f>
        <v>0.39025692294109926</v>
      </c>
      <c r="AX9" s="249">
        <v>-5.8239999999999998</v>
      </c>
      <c r="AY9" s="225">
        <f>AX9/AU9-1</f>
        <v>-0.16800000000000004</v>
      </c>
      <c r="AZ9" s="226">
        <f>AX9/AL9-1</f>
        <v>0.41222114451988379</v>
      </c>
      <c r="BA9" s="249">
        <v>-7.4839999999999973</v>
      </c>
      <c r="BB9" s="225">
        <f>BA9/AX9-1</f>
        <v>0.28502747252747218</v>
      </c>
      <c r="BC9" s="228">
        <f>BA9/AO9-1</f>
        <v>5.3200495492779831E-2</v>
      </c>
      <c r="BD9" s="248">
        <v>-9.8759999999999994</v>
      </c>
      <c r="BE9" s="225">
        <f>BD9/BA9-1</f>
        <v>0.31961517904863745</v>
      </c>
      <c r="BF9" s="226">
        <f>BD9/AR9-1</f>
        <v>0.69370605385011119</v>
      </c>
      <c r="BG9" s="249">
        <v>-9.1440000000000001</v>
      </c>
      <c r="BH9" s="225">
        <f>BG9/BD9-1</f>
        <v>-7.4119076549210128E-2</v>
      </c>
      <c r="BI9" s="226">
        <f>BG9/AU9-1</f>
        <v>0.30628571428571427</v>
      </c>
      <c r="BJ9" s="249">
        <v>-8.4710000000000001</v>
      </c>
      <c r="BK9" s="225">
        <f>BJ9/BG9-1</f>
        <v>-7.3600174978127764E-2</v>
      </c>
      <c r="BL9" s="226">
        <f>BJ9/AX9-1</f>
        <v>0.45449862637362637</v>
      </c>
      <c r="BM9" s="249">
        <v>-11.797000000000001</v>
      </c>
      <c r="BN9" s="225">
        <f>BM9/BJ9-1</f>
        <v>0.39263369141777837</v>
      </c>
      <c r="BO9" s="228">
        <f>BM9/BA9-1</f>
        <v>0.57629609834313267</v>
      </c>
      <c r="BP9" s="248">
        <v>-10.319000000000001</v>
      </c>
      <c r="BQ9" s="225">
        <f>BP9/BM9-1</f>
        <v>-0.12528608968381794</v>
      </c>
      <c r="BR9" s="226">
        <f>BP9/BD9-1</f>
        <v>4.4856217091940209E-2</v>
      </c>
      <c r="BS9" s="249">
        <v>-13.173999999999999</v>
      </c>
      <c r="BT9" s="225">
        <f>BS9/BP9-1</f>
        <v>0.27667409632716322</v>
      </c>
      <c r="BU9" s="226">
        <f>BS9/BG9-1</f>
        <v>0.44072615923009617</v>
      </c>
      <c r="BV9" s="249">
        <v>-12.348000000000001</v>
      </c>
      <c r="BW9" s="225">
        <f>BV9/BS9-1</f>
        <v>-6.2699256110520629E-2</v>
      </c>
      <c r="BX9" s="226">
        <f>BV9/BJ9-1</f>
        <v>0.45767914059733217</v>
      </c>
      <c r="BY9" s="249">
        <v>-14.984999999999999</v>
      </c>
      <c r="BZ9" s="225">
        <f>BY9/BV9-1</f>
        <v>0.21355685131195323</v>
      </c>
      <c r="CA9" s="228">
        <f>BY9/BM9-1</f>
        <v>0.27023819615156386</v>
      </c>
      <c r="CB9" s="248">
        <v>-13.694000000000001</v>
      </c>
      <c r="CC9" s="225">
        <f>CB9/BY9-1</f>
        <v>-8.6152819486152721E-2</v>
      </c>
      <c r="CD9" s="226">
        <f>CB9/BP9-1</f>
        <v>0.32706657621862578</v>
      </c>
      <c r="CE9" s="249">
        <v>-16.326000000000001</v>
      </c>
      <c r="CF9" s="225">
        <f>CE9/CB9-1</f>
        <v>0.19220096392580688</v>
      </c>
      <c r="CG9" s="226">
        <f>CE9/BS9-1</f>
        <v>0.23925914680431171</v>
      </c>
      <c r="CH9" s="249">
        <v>-17.648</v>
      </c>
      <c r="CI9" s="225">
        <f>CH9/CE9-1</f>
        <v>8.0975131691779945E-2</v>
      </c>
      <c r="CJ9" s="226">
        <f>CH9/BV9-1</f>
        <v>0.42921930677032716</v>
      </c>
      <c r="CK9" s="249">
        <f>-(CK7-CK11)</f>
        <v>-21.016887670999999</v>
      </c>
      <c r="CL9" s="225">
        <f>CK9/CH9-1</f>
        <v>0.19089345370580224</v>
      </c>
      <c r="CM9" s="228">
        <f>CK9/BY9-1</f>
        <v>0.40252837310643974</v>
      </c>
    </row>
    <row r="10" spans="1:91" s="71" customFormat="1" ht="16.2" customHeight="1" x14ac:dyDescent="0.4">
      <c r="A10" s="156">
        <f t="shared" si="0"/>
        <v>8</v>
      </c>
      <c r="B10" s="59" t="s">
        <v>80</v>
      </c>
      <c r="C10" s="60" t="s">
        <v>125</v>
      </c>
      <c r="D10" s="229">
        <f t="shared" ref="D10:G10" si="3">IFERROR(D9/(-D$4),)</f>
        <v>0.34994206257242177</v>
      </c>
      <c r="E10" s="230">
        <f t="shared" si="3"/>
        <v>0.31925849639546855</v>
      </c>
      <c r="F10" s="230">
        <f t="shared" si="3"/>
        <v>0.37558685446009393</v>
      </c>
      <c r="G10" s="231">
        <f t="shared" si="3"/>
        <v>0.5056179775280899</v>
      </c>
      <c r="H10" s="232">
        <f>IFERROR(H9/(-H$4),)</f>
        <v>0.38250254323499489</v>
      </c>
      <c r="I10" s="225"/>
      <c r="J10" s="226"/>
      <c r="K10" s="233">
        <f>IFERROR(K9/(-K$4),)</f>
        <v>0.36998254799301916</v>
      </c>
      <c r="L10" s="225"/>
      <c r="M10" s="226"/>
      <c r="N10" s="233">
        <f>IFERROR(N9/(-N$4),)</f>
        <v>0.38070628768303189</v>
      </c>
      <c r="O10" s="225"/>
      <c r="P10" s="226"/>
      <c r="Q10" s="233">
        <f>IFERROR(Q9/(-Q$4),)</f>
        <v>0.33267041558085314</v>
      </c>
      <c r="R10" s="225"/>
      <c r="S10" s="228"/>
      <c r="T10" s="232">
        <f>IFERROR(T9/(-T$4),)</f>
        <v>0.29827703328598776</v>
      </c>
      <c r="U10" s="225"/>
      <c r="V10" s="226"/>
      <c r="W10" s="233">
        <f>IFERROR(W9/(-W$4),)</f>
        <v>0.31107091507815038</v>
      </c>
      <c r="X10" s="225"/>
      <c r="Y10" s="226"/>
      <c r="Z10" s="233">
        <f>IFERROR(Z9/(-Z$4),)</f>
        <v>0.25100881788448454</v>
      </c>
      <c r="AA10" s="225"/>
      <c r="AB10" s="226"/>
      <c r="AC10" s="233">
        <f>IFERROR(AC9/(-AC$4),)</f>
        <v>0.24068148560835056</v>
      </c>
      <c r="AD10" s="225"/>
      <c r="AE10" s="228"/>
      <c r="AF10" s="232">
        <f>IFERROR(AF9/(-AF$4),)</f>
        <v>0.19062952074291847</v>
      </c>
      <c r="AG10" s="225"/>
      <c r="AH10" s="226"/>
      <c r="AI10" s="233">
        <f>IFERROR(AI9/(-AI$4),)</f>
        <v>0.34509910914479991</v>
      </c>
      <c r="AJ10" s="225"/>
      <c r="AK10" s="226"/>
      <c r="AL10" s="233">
        <f>IFERROR(AL9/(-AL$4),)</f>
        <v>0.21079533837661008</v>
      </c>
      <c r="AM10" s="225"/>
      <c r="AN10" s="226"/>
      <c r="AO10" s="233">
        <f>IFERROR(AO9/(-AO$4),)</f>
        <v>0.34035843401870092</v>
      </c>
      <c r="AP10" s="225"/>
      <c r="AQ10" s="228"/>
      <c r="AR10" s="232">
        <f>IFERROR(AR9/(-AR$4),)</f>
        <v>0.27349906191369605</v>
      </c>
      <c r="AS10" s="225"/>
      <c r="AT10" s="226"/>
      <c r="AU10" s="233">
        <f>IFERROR(AU9/(-AU$4),)</f>
        <v>0.23736859952526279</v>
      </c>
      <c r="AV10" s="225"/>
      <c r="AW10" s="226"/>
      <c r="AX10" s="233">
        <f>IFERROR(AX9/(-AX$4),)</f>
        <v>0.23804463336875661</v>
      </c>
      <c r="AY10" s="225"/>
      <c r="AZ10" s="226"/>
      <c r="BA10" s="233">
        <f>IFERROR(BA9/(-BA$4),)</f>
        <v>0.2955766192733017</v>
      </c>
      <c r="BB10" s="225"/>
      <c r="BC10" s="228"/>
      <c r="BD10" s="232">
        <f>IFERROR(BD9/(-BD$4),)</f>
        <v>0.2791328679234617</v>
      </c>
      <c r="BE10" s="225"/>
      <c r="BF10" s="226"/>
      <c r="BG10" s="233">
        <f>IFERROR(BG9/(-BG$4),)</f>
        <v>0.27976991800269246</v>
      </c>
      <c r="BH10" s="225"/>
      <c r="BI10" s="226"/>
      <c r="BJ10" s="233">
        <f>IFERROR(BJ9/(-BJ$4),)</f>
        <v>0.25462907298304677</v>
      </c>
      <c r="BK10" s="225"/>
      <c r="BL10" s="226"/>
      <c r="BM10" s="233">
        <f>IFERROR(BM9/(-BM$4),)</f>
        <v>0.29152148664343791</v>
      </c>
      <c r="BN10" s="225"/>
      <c r="BO10" s="228"/>
      <c r="BP10" s="232">
        <f>IFERROR(BP9/(-BP$4),)</f>
        <v>0.26476625442602764</v>
      </c>
      <c r="BQ10" s="225"/>
      <c r="BR10" s="226"/>
      <c r="BS10" s="233">
        <f>IFERROR(BS9/(-BS$4),)</f>
        <v>0.28702775720074947</v>
      </c>
      <c r="BT10" s="225"/>
      <c r="BU10" s="226"/>
      <c r="BV10" s="233">
        <f>IFERROR(BV9/(-BV$4),)</f>
        <v>0.25593831612983459</v>
      </c>
      <c r="BW10" s="225"/>
      <c r="BX10" s="226"/>
      <c r="BY10" s="233">
        <f>IFERROR(BY9/(-BY$4),)</f>
        <v>0.31879587277949151</v>
      </c>
      <c r="BZ10" s="225"/>
      <c r="CA10" s="228"/>
      <c r="CB10" s="232">
        <f>IFERROR(CB9/(-CB$4),)</f>
        <v>0.27181960737608929</v>
      </c>
      <c r="CC10" s="225"/>
      <c r="CD10" s="226"/>
      <c r="CE10" s="233">
        <f>IFERROR(CE9/(-CE$4),)</f>
        <v>0.27793193850972914</v>
      </c>
      <c r="CF10" s="225"/>
      <c r="CG10" s="226"/>
      <c r="CH10" s="233">
        <f>IFERROR(CH9/(-CH$4),)</f>
        <v>0.29703436900393843</v>
      </c>
      <c r="CI10" s="225"/>
      <c r="CJ10" s="226"/>
      <c r="CK10" s="233">
        <f>ABS(CK9/CK$4)</f>
        <v>0.28247049963145665</v>
      </c>
      <c r="CL10" s="225"/>
      <c r="CM10" s="228"/>
    </row>
    <row r="11" spans="1:91" s="50" customFormat="1" ht="16.2" customHeight="1" x14ac:dyDescent="0.4">
      <c r="A11" s="156">
        <f t="shared" si="0"/>
        <v>9</v>
      </c>
      <c r="B11" s="47" t="s">
        <v>193</v>
      </c>
      <c r="C11" s="48" t="s">
        <v>348</v>
      </c>
      <c r="D11" s="213">
        <f>D7+D9</f>
        <v>3.0500000000000003</v>
      </c>
      <c r="E11" s="214">
        <f t="shared" ref="E11:H11" si="4">E7+E9</f>
        <v>3.1600000000000006</v>
      </c>
      <c r="F11" s="214">
        <f t="shared" si="4"/>
        <v>2.7499999999999991</v>
      </c>
      <c r="G11" s="215">
        <f t="shared" si="4"/>
        <v>1.8399999999999999</v>
      </c>
      <c r="H11" s="216">
        <f t="shared" si="4"/>
        <v>2.58</v>
      </c>
      <c r="I11" s="217">
        <f>H11/G11-1</f>
        <v>0.40217391304347849</v>
      </c>
      <c r="J11" s="218">
        <f>H11/D11-1</f>
        <v>-0.15409836065573779</v>
      </c>
      <c r="K11" s="219">
        <f>K7+K9</f>
        <v>4.24</v>
      </c>
      <c r="L11" s="217">
        <f>K11/H11-1</f>
        <v>0.64341085271317833</v>
      </c>
      <c r="M11" s="218">
        <f>K11/E11-1</f>
        <v>0.341772151898734</v>
      </c>
      <c r="N11" s="219">
        <f>N7+N9</f>
        <v>4.1199999999999992</v>
      </c>
      <c r="O11" s="217">
        <f>N11/K11-1</f>
        <v>-2.8301886792453046E-2</v>
      </c>
      <c r="P11" s="218">
        <f>N11/F11-1</f>
        <v>0.49818181818181828</v>
      </c>
      <c r="Q11" s="219">
        <f>Q7+Q9</f>
        <v>6.5370000000000008</v>
      </c>
      <c r="R11" s="217">
        <f>Q11/N11-1</f>
        <v>0.58665048543689369</v>
      </c>
      <c r="S11" s="220">
        <f>Q11/G11-1</f>
        <v>2.5527173913043484</v>
      </c>
      <c r="T11" s="216">
        <f>T7+T9</f>
        <v>7.4450000000000021</v>
      </c>
      <c r="U11" s="217">
        <f>T11/Q11-1</f>
        <v>0.1389016368364695</v>
      </c>
      <c r="V11" s="218">
        <f>T11/H11-1</f>
        <v>1.8856589147286829</v>
      </c>
      <c r="W11" s="219">
        <f>W7+W9</f>
        <v>9.5679999999999978</v>
      </c>
      <c r="X11" s="217">
        <f>W11/T11-1</f>
        <v>0.28515782404298129</v>
      </c>
      <c r="Y11" s="218">
        <f>W11/K11-1</f>
        <v>1.2566037735849052</v>
      </c>
      <c r="Z11" s="219">
        <f>Z7+Z9</f>
        <v>11.763728177999997</v>
      </c>
      <c r="AA11" s="217">
        <f>Z11/W11-1</f>
        <v>0.22948664067725755</v>
      </c>
      <c r="AB11" s="218">
        <f>Z11/N11-1</f>
        <v>1.8552738296116504</v>
      </c>
      <c r="AC11" s="219">
        <f>AC7+AC9</f>
        <v>12.933271821999998</v>
      </c>
      <c r="AD11" s="217">
        <f>AC11/Z11-1</f>
        <v>9.9419471982294727E-2</v>
      </c>
      <c r="AE11" s="220">
        <f>AC11/Q11-1</f>
        <v>0.9784720547651824</v>
      </c>
      <c r="AF11" s="216">
        <f>AF7+AF9</f>
        <v>13.433999999999997</v>
      </c>
      <c r="AG11" s="217">
        <f>AF11/AC11-1</f>
        <v>3.8716280372940171E-2</v>
      </c>
      <c r="AH11" s="218">
        <f>AF11/T11-1</f>
        <v>0.80443250503693675</v>
      </c>
      <c r="AI11" s="219">
        <f>AI7+AI9</f>
        <v>6.3672617620000009</v>
      </c>
      <c r="AJ11" s="217">
        <f>AI11/AF11-1</f>
        <v>-0.52603381256513315</v>
      </c>
      <c r="AK11" s="218">
        <f>AI11/W11-1</f>
        <v>-0.33452531751672221</v>
      </c>
      <c r="AL11" s="219">
        <f>AL7+AL9</f>
        <v>11.865000000000002</v>
      </c>
      <c r="AM11" s="217">
        <f>AL11/AI11-1</f>
        <v>0.86343838898074821</v>
      </c>
      <c r="AN11" s="218">
        <f>AL11/Z11-1</f>
        <v>8.6088203048926282E-3</v>
      </c>
      <c r="AO11" s="219">
        <f>AO7+AO9</f>
        <v>8.9437382379999946</v>
      </c>
      <c r="AP11" s="217">
        <f>AO11/AL11-1</f>
        <v>-0.2462083238095244</v>
      </c>
      <c r="AQ11" s="220">
        <f>AO11/AC11-1</f>
        <v>-0.30847055864190931</v>
      </c>
      <c r="AR11" s="216">
        <f>AR7+AR9</f>
        <v>10.895</v>
      </c>
      <c r="AS11" s="217">
        <f>AR11/AO11-1</f>
        <v>0.21817071453517256</v>
      </c>
      <c r="AT11" s="218">
        <f>AR11/AF11-1</f>
        <v>-0.18899806461217794</v>
      </c>
      <c r="AU11" s="219">
        <f>AU7+AU9</f>
        <v>16.090000000000003</v>
      </c>
      <c r="AV11" s="217">
        <f>AU11/AR11-1</f>
        <v>0.47682423129876117</v>
      </c>
      <c r="AW11" s="218">
        <f>AU11/AI11-1</f>
        <v>1.5269889320438468</v>
      </c>
      <c r="AX11" s="219">
        <f>AX7+AX9</f>
        <v>13.329000000000002</v>
      </c>
      <c r="AY11" s="217">
        <f>AX11/AU11-1</f>
        <v>-0.17159726538222497</v>
      </c>
      <c r="AZ11" s="218">
        <f>AX11/AL11-1</f>
        <v>0.12338811630847024</v>
      </c>
      <c r="BA11" s="219">
        <f>BA7+BA9</f>
        <v>11.398999999999994</v>
      </c>
      <c r="BB11" s="217">
        <f>BA11/AX11-1</f>
        <v>-0.14479705904418994</v>
      </c>
      <c r="BC11" s="220">
        <f>BA11/AO11-1</f>
        <v>0.27452298990237956</v>
      </c>
      <c r="BD11" s="216">
        <f>BD7+BD9</f>
        <v>16.704999999999998</v>
      </c>
      <c r="BE11" s="217">
        <f>BD11/BA11-1</f>
        <v>0.46547942802000231</v>
      </c>
      <c r="BF11" s="218">
        <f>BD11/AR11-1</f>
        <v>0.5332721431849472</v>
      </c>
      <c r="BG11" s="219">
        <f>BG7+BG9</f>
        <v>15.262999999999996</v>
      </c>
      <c r="BH11" s="217">
        <f>BG11/BD11-1</f>
        <v>-8.6321460640526926E-2</v>
      </c>
      <c r="BI11" s="218">
        <f>BG11/AU11-1</f>
        <v>-5.139838408949704E-2</v>
      </c>
      <c r="BJ11" s="219">
        <f>BJ7+BJ9</f>
        <v>17.48</v>
      </c>
      <c r="BK11" s="217">
        <f>BJ11/BG11-1</f>
        <v>0.14525322675751839</v>
      </c>
      <c r="BL11" s="218">
        <f>BJ11/AX11-1</f>
        <v>0.3114262135193937</v>
      </c>
      <c r="BM11" s="219">
        <f>BM7+BM9</f>
        <v>19.428999999999998</v>
      </c>
      <c r="BN11" s="217">
        <f>BM11/BJ11-1</f>
        <v>0.11149885583524011</v>
      </c>
      <c r="BO11" s="220">
        <f>BM11/BA11-1</f>
        <v>0.70444775857531439</v>
      </c>
      <c r="BP11" s="216">
        <f>BP7+BP9</f>
        <v>19.890999999999998</v>
      </c>
      <c r="BQ11" s="217">
        <f>BP11/BM11-1</f>
        <v>2.3778887230428758E-2</v>
      </c>
      <c r="BR11" s="218">
        <f>BP11/BD11-1</f>
        <v>0.19072134091589343</v>
      </c>
      <c r="BS11" s="219">
        <f>BS7+BS9</f>
        <v>23.147000000000006</v>
      </c>
      <c r="BT11" s="217">
        <f>BS11/BP11-1</f>
        <v>0.16369212206525607</v>
      </c>
      <c r="BU11" s="218">
        <f>BS11/BG11-1</f>
        <v>0.51654327458559979</v>
      </c>
      <c r="BV11" s="219">
        <f>BV7+BV9</f>
        <v>24.664000000000001</v>
      </c>
      <c r="BW11" s="217">
        <f>BV11/BS11-1</f>
        <v>6.5537650667472969E-2</v>
      </c>
      <c r="BX11" s="218">
        <f>BV11/BJ11-1</f>
        <v>0.41098398169336381</v>
      </c>
      <c r="BY11" s="219">
        <f>BY7+BY9</f>
        <v>21.921000000000006</v>
      </c>
      <c r="BZ11" s="217">
        <f>BY11/BV11-1</f>
        <v>-0.11121472591631509</v>
      </c>
      <c r="CA11" s="220">
        <f>BY11/BM11-1</f>
        <v>0.12826187657625243</v>
      </c>
      <c r="CB11" s="216">
        <f>CB7+CB9</f>
        <v>26.507999999999996</v>
      </c>
      <c r="CC11" s="217">
        <f>CB11/BY11-1</f>
        <v>0.20925140276447185</v>
      </c>
      <c r="CD11" s="218">
        <f>CB11/BP11-1</f>
        <v>0.33266301342315607</v>
      </c>
      <c r="CE11" s="219">
        <f>CE7+CE9</f>
        <v>31.186999999999998</v>
      </c>
      <c r="CF11" s="217">
        <f>CE11/CB11-1</f>
        <v>0.17651275086766272</v>
      </c>
      <c r="CG11" s="218">
        <f>CE11/BS11-1</f>
        <v>0.34734522832332448</v>
      </c>
      <c r="CH11" s="219">
        <f>CH7+CH9</f>
        <v>28.952000000000002</v>
      </c>
      <c r="CI11" s="217">
        <f>CH11/CE11-1</f>
        <v>-7.1664475582774778E-2</v>
      </c>
      <c r="CJ11" s="218">
        <f>CH11/BV11-1</f>
        <v>0.1738566331495297</v>
      </c>
      <c r="CK11" s="219">
        <v>35.794314966000002</v>
      </c>
      <c r="CL11" s="217">
        <f>CK11/CH11-1</f>
        <v>0.23633306735285986</v>
      </c>
      <c r="CM11" s="220">
        <f>CK11/BY11-1</f>
        <v>0.63287783248939333</v>
      </c>
    </row>
    <row r="12" spans="1:91" s="202" customFormat="1" ht="16.2" customHeight="1" x14ac:dyDescent="0.4">
      <c r="A12" s="156">
        <f t="shared" si="0"/>
        <v>10</v>
      </c>
      <c r="B12" s="199" t="s">
        <v>80</v>
      </c>
      <c r="C12" s="200" t="s">
        <v>80</v>
      </c>
      <c r="D12" s="239">
        <f>D11/D$4</f>
        <v>0.35341830822711473</v>
      </c>
      <c r="E12" s="240">
        <f>E11/E$4</f>
        <v>0.32543769309989706</v>
      </c>
      <c r="F12" s="240">
        <f>F11/F$4</f>
        <v>0.32276995305164308</v>
      </c>
      <c r="G12" s="241">
        <f>G11/G$4</f>
        <v>0.22971285892634205</v>
      </c>
      <c r="H12" s="242">
        <f>H11/H$4</f>
        <v>0.26246185147507628</v>
      </c>
      <c r="I12" s="241"/>
      <c r="J12" s="240"/>
      <c r="K12" s="243">
        <f>K11/K$4</f>
        <v>0.36998254799301916</v>
      </c>
      <c r="L12" s="241"/>
      <c r="M12" s="240"/>
      <c r="N12" s="243">
        <f>N11/N$4</f>
        <v>0.35486649440137807</v>
      </c>
      <c r="O12" s="241"/>
      <c r="P12" s="240"/>
      <c r="Q12" s="243">
        <f>Q11/Q$4</f>
        <v>0.44829241530654235</v>
      </c>
      <c r="R12" s="241"/>
      <c r="S12" s="244"/>
      <c r="T12" s="242">
        <f>T11/T$4</f>
        <v>0.45976656580003716</v>
      </c>
      <c r="U12" s="241"/>
      <c r="V12" s="240"/>
      <c r="W12" s="243">
        <f>W11/W$4</f>
        <v>0.44376420388664711</v>
      </c>
      <c r="X12" s="241"/>
      <c r="Y12" s="240"/>
      <c r="Z12" s="243">
        <f>Z11/Z$4</f>
        <v>0.55862212007039269</v>
      </c>
      <c r="AA12" s="241"/>
      <c r="AB12" s="240"/>
      <c r="AC12" s="243">
        <f>AC11/AC$4</f>
        <v>0.57943395077111792</v>
      </c>
      <c r="AD12" s="241"/>
      <c r="AE12" s="244"/>
      <c r="AF12" s="242">
        <f>AF11/AF$4</f>
        <v>0.62690746185076296</v>
      </c>
      <c r="AG12" s="241"/>
      <c r="AH12" s="240"/>
      <c r="AI12" s="243">
        <f>AI11/AI$4</f>
        <v>0.43640886985202809</v>
      </c>
      <c r="AJ12" s="241"/>
      <c r="AK12" s="240"/>
      <c r="AL12" s="243">
        <f>AL11/AL$4</f>
        <v>0.60647106931097949</v>
      </c>
      <c r="AM12" s="241"/>
      <c r="AN12" s="240"/>
      <c r="AO12" s="243">
        <f>AO11/AO$4</f>
        <v>0.42838363600960877</v>
      </c>
      <c r="AP12" s="241"/>
      <c r="AQ12" s="244"/>
      <c r="AR12" s="242">
        <f>AR11/AR$4</f>
        <v>0.51102251407129451</v>
      </c>
      <c r="AS12" s="241"/>
      <c r="AT12" s="240"/>
      <c r="AU12" s="243">
        <f>AU11/AU$4</f>
        <v>0.54560868090878267</v>
      </c>
      <c r="AV12" s="241"/>
      <c r="AW12" s="240"/>
      <c r="AX12" s="243">
        <f>AX11/AX$4</f>
        <v>0.54479686094988977</v>
      </c>
      <c r="AY12" s="241"/>
      <c r="AZ12" s="240"/>
      <c r="BA12" s="243">
        <f>BA11/BA$4</f>
        <v>0.45019747235387031</v>
      </c>
      <c r="BB12" s="241"/>
      <c r="BC12" s="244"/>
      <c r="BD12" s="242">
        <f>BD11/BD$4</f>
        <v>0.47214606709815998</v>
      </c>
      <c r="BE12" s="241"/>
      <c r="BF12" s="240"/>
      <c r="BG12" s="243">
        <f>BG11/BG$4</f>
        <v>0.46698690490759998</v>
      </c>
      <c r="BH12" s="241"/>
      <c r="BI12" s="240"/>
      <c r="BJ12" s="243">
        <f>BJ11/BJ$4</f>
        <v>0.52542984249128288</v>
      </c>
      <c r="BK12" s="241"/>
      <c r="BL12" s="240"/>
      <c r="BM12" s="243">
        <f>BM11/BM$4</f>
        <v>0.48011960362764722</v>
      </c>
      <c r="BN12" s="241"/>
      <c r="BO12" s="244"/>
      <c r="BP12" s="242">
        <f>BP11/BP$4</f>
        <v>0.51036588494894031</v>
      </c>
      <c r="BQ12" s="241"/>
      <c r="BR12" s="240"/>
      <c r="BS12" s="243">
        <f>BS11/BS$4</f>
        <v>0.50431391346028154</v>
      </c>
      <c r="BT12" s="241"/>
      <c r="BU12" s="240"/>
      <c r="BV12" s="243">
        <f>BV11/BV$4</f>
        <v>0.51121336483853586</v>
      </c>
      <c r="BW12" s="241"/>
      <c r="BX12" s="240"/>
      <c r="BY12" s="243">
        <f>BY11/BY$4</f>
        <v>0.46635464312307212</v>
      </c>
      <c r="BZ12" s="241"/>
      <c r="CA12" s="244"/>
      <c r="CB12" s="242">
        <f>CB11/CB$4</f>
        <v>0.52617161912701715</v>
      </c>
      <c r="CC12" s="241"/>
      <c r="CD12" s="240"/>
      <c r="CE12" s="243">
        <f>CE11/CE$4</f>
        <v>0.53092388621235587</v>
      </c>
      <c r="CF12" s="241"/>
      <c r="CG12" s="240"/>
      <c r="CH12" s="243">
        <f>CH11/CH$4</f>
        <v>0.48729255730972498</v>
      </c>
      <c r="CI12" s="241"/>
      <c r="CJ12" s="240"/>
      <c r="CK12" s="243">
        <f>ABS(CK11/CK$4)</f>
        <v>0.48108160402660921</v>
      </c>
      <c r="CL12" s="241"/>
      <c r="CM12" s="244"/>
    </row>
    <row r="13" spans="1:91" s="141" customFormat="1" ht="16.2" customHeight="1" x14ac:dyDescent="0.4">
      <c r="A13" s="156">
        <f t="shared" si="0"/>
        <v>11</v>
      </c>
      <c r="B13" s="493" t="s">
        <v>246</v>
      </c>
      <c r="C13" s="494" t="s">
        <v>349</v>
      </c>
      <c r="D13" s="624">
        <v>0</v>
      </c>
      <c r="E13" s="625">
        <v>0</v>
      </c>
      <c r="F13" s="625">
        <v>0</v>
      </c>
      <c r="G13" s="626">
        <v>0</v>
      </c>
      <c r="H13" s="523">
        <v>0</v>
      </c>
      <c r="I13" s="524">
        <v>0</v>
      </c>
      <c r="J13" s="525">
        <v>0</v>
      </c>
      <c r="K13" s="526">
        <v>0</v>
      </c>
      <c r="L13" s="524">
        <v>0</v>
      </c>
      <c r="M13" s="525">
        <v>0</v>
      </c>
      <c r="N13" s="526">
        <v>0</v>
      </c>
      <c r="O13" s="524">
        <v>0</v>
      </c>
      <c r="P13" s="525">
        <v>0</v>
      </c>
      <c r="Q13" s="526">
        <v>0</v>
      </c>
      <c r="R13" s="524">
        <v>0</v>
      </c>
      <c r="S13" s="527">
        <v>0</v>
      </c>
      <c r="T13" s="523">
        <v>0</v>
      </c>
      <c r="U13" s="524">
        <v>0</v>
      </c>
      <c r="V13" s="525">
        <v>0</v>
      </c>
      <c r="W13" s="526">
        <v>0</v>
      </c>
      <c r="X13" s="524">
        <v>0</v>
      </c>
      <c r="Y13" s="525">
        <v>0</v>
      </c>
      <c r="Z13" s="526">
        <v>0</v>
      </c>
      <c r="AA13" s="524">
        <v>0</v>
      </c>
      <c r="AB13" s="525">
        <v>0</v>
      </c>
      <c r="AC13" s="526">
        <v>0</v>
      </c>
      <c r="AD13" s="524">
        <v>0</v>
      </c>
      <c r="AE13" s="527">
        <v>0</v>
      </c>
      <c r="AF13" s="523">
        <v>0</v>
      </c>
      <c r="AG13" s="524">
        <v>0</v>
      </c>
      <c r="AH13" s="525">
        <v>0</v>
      </c>
      <c r="AI13" s="526">
        <v>0</v>
      </c>
      <c r="AJ13" s="524">
        <v>0</v>
      </c>
      <c r="AK13" s="525">
        <v>0</v>
      </c>
      <c r="AL13" s="526">
        <v>0</v>
      </c>
      <c r="AM13" s="524">
        <v>0</v>
      </c>
      <c r="AN13" s="525">
        <v>0</v>
      </c>
      <c r="AO13" s="526">
        <v>0</v>
      </c>
      <c r="AP13" s="524">
        <v>0</v>
      </c>
      <c r="AQ13" s="527">
        <v>0</v>
      </c>
      <c r="AR13" s="523">
        <v>0</v>
      </c>
      <c r="AS13" s="524">
        <v>0</v>
      </c>
      <c r="AT13" s="525">
        <v>0</v>
      </c>
      <c r="AU13" s="526">
        <v>0</v>
      </c>
      <c r="AV13" s="524">
        <v>0</v>
      </c>
      <c r="AW13" s="525">
        <v>0</v>
      </c>
      <c r="AX13" s="526">
        <v>0</v>
      </c>
      <c r="AY13" s="524">
        <v>0</v>
      </c>
      <c r="AZ13" s="525">
        <v>0</v>
      </c>
      <c r="BA13" s="526">
        <v>0</v>
      </c>
      <c r="BB13" s="524">
        <v>0</v>
      </c>
      <c r="BC13" s="527">
        <v>0</v>
      </c>
      <c r="BD13" s="523">
        <v>0</v>
      </c>
      <c r="BE13" s="524">
        <v>0</v>
      </c>
      <c r="BF13" s="525">
        <v>0</v>
      </c>
      <c r="BG13" s="526">
        <v>0</v>
      </c>
      <c r="BH13" s="524">
        <v>0</v>
      </c>
      <c r="BI13" s="525">
        <v>0</v>
      </c>
      <c r="BJ13" s="526">
        <v>0</v>
      </c>
      <c r="BK13" s="524">
        <v>0</v>
      </c>
      <c r="BL13" s="525">
        <v>0</v>
      </c>
      <c r="BM13" s="526">
        <v>0</v>
      </c>
      <c r="BN13" s="524">
        <v>0</v>
      </c>
      <c r="BO13" s="527">
        <v>0</v>
      </c>
      <c r="BP13" s="524">
        <v>0</v>
      </c>
      <c r="BQ13" s="524">
        <v>0</v>
      </c>
      <c r="BR13" s="525">
        <v>0</v>
      </c>
      <c r="BS13" s="526">
        <v>0</v>
      </c>
      <c r="BT13" s="524">
        <v>0</v>
      </c>
      <c r="BU13" s="525">
        <v>0</v>
      </c>
      <c r="BV13" s="526">
        <v>0</v>
      </c>
      <c r="BW13" s="524">
        <v>0</v>
      </c>
      <c r="BX13" s="525">
        <v>0</v>
      </c>
      <c r="BY13" s="526">
        <v>0</v>
      </c>
      <c r="BZ13" s="524">
        <v>0</v>
      </c>
      <c r="CA13" s="527">
        <v>0</v>
      </c>
      <c r="CB13" s="528">
        <v>0</v>
      </c>
      <c r="CC13" s="380" t="s">
        <v>3</v>
      </c>
      <c r="CD13" s="380" t="s">
        <v>3</v>
      </c>
      <c r="CE13" s="529">
        <v>0.26700000000000002</v>
      </c>
      <c r="CF13" s="380" t="s">
        <v>3</v>
      </c>
      <c r="CG13" s="530" t="s">
        <v>3</v>
      </c>
      <c r="CH13" s="531">
        <v>-0.82265554600000002</v>
      </c>
      <c r="CI13" s="380">
        <f>IFERROR((CH13-CE13)/CE13,)</f>
        <v>-4.0811069138576777</v>
      </c>
      <c r="CJ13" s="530" t="s">
        <v>3</v>
      </c>
      <c r="CK13" s="531">
        <v>-0.51090134399999998</v>
      </c>
      <c r="CL13" s="380">
        <f>IFERROR((CK13-CH13)/CH13,)</f>
        <v>-0.37896079776747782</v>
      </c>
      <c r="CM13" s="532" t="s">
        <v>3</v>
      </c>
    </row>
    <row r="14" spans="1:91" s="141" customFormat="1" ht="16.2" customHeight="1" x14ac:dyDescent="0.4">
      <c r="A14" s="156">
        <f t="shared" si="0"/>
        <v>12</v>
      </c>
      <c r="B14" s="493" t="s">
        <v>194</v>
      </c>
      <c r="C14" s="494" t="s">
        <v>59</v>
      </c>
      <c r="D14" s="495">
        <v>4.9946123000000002E-2</v>
      </c>
      <c r="E14" s="496">
        <v>3.3595376000000003E-2</v>
      </c>
      <c r="F14" s="496">
        <v>7.7046980000000001E-2</v>
      </c>
      <c r="G14" s="533">
        <v>-2.4094260000000001E-3</v>
      </c>
      <c r="H14" s="528">
        <v>6.3148701000000002E-2</v>
      </c>
      <c r="I14" s="380">
        <f t="shared" ref="I14:I17" si="5">IFERROR((H14-E14)/E14,)</f>
        <v>0.8796843053639285</v>
      </c>
      <c r="J14" s="530">
        <f>IFERROR((H14-D14)/D14,)</f>
        <v>0.264336393036953</v>
      </c>
      <c r="K14" s="529">
        <v>0.21570729999999999</v>
      </c>
      <c r="L14" s="380">
        <f t="shared" ref="L14:L17" si="6">IFERROR((K14-H14)/H14,)</f>
        <v>2.4158628219446667</v>
      </c>
      <c r="M14" s="530">
        <f>IFERROR((K14-E14)/E14,)</f>
        <v>5.4207437356855293</v>
      </c>
      <c r="N14" s="529">
        <v>3.8570129000000002E-2</v>
      </c>
      <c r="O14" s="380">
        <f t="shared" ref="O14:O17" si="7">IFERROR((N14-K14)/K14,)</f>
        <v>-0.82119228695551794</v>
      </c>
      <c r="P14" s="530">
        <f>IFERROR((N14-F14)/F14,)</f>
        <v>-0.49939466803241345</v>
      </c>
      <c r="Q14" s="531">
        <v>9.1933276999999994E-2</v>
      </c>
      <c r="R14" s="380">
        <f t="shared" ref="R14:R17" si="8">IFERROR((Q14-N14)/N14,)</f>
        <v>1.3835356371247809</v>
      </c>
      <c r="S14" s="532">
        <f>IFERROR((Q14-G14)/G14,)</f>
        <v>-39.155675667150597</v>
      </c>
      <c r="T14" s="528">
        <v>0.14593989700000001</v>
      </c>
      <c r="U14" s="380">
        <f>IFERROR((T14-Q14)/Q14,)</f>
        <v>0.58745452965850464</v>
      </c>
      <c r="V14" s="530">
        <f>IFERROR((T14-H14)/H14,)</f>
        <v>1.3110514498152546</v>
      </c>
      <c r="W14" s="529">
        <v>0.139366079</v>
      </c>
      <c r="X14" s="380">
        <f>IFERROR((W14-T14)/T14,)</f>
        <v>-4.5044693981112022E-2</v>
      </c>
      <c r="Y14" s="530">
        <f>IFERROR((W14-K14)/K14,)</f>
        <v>-0.35391116109654142</v>
      </c>
      <c r="Z14" s="529">
        <v>0.25893301099999999</v>
      </c>
      <c r="AA14" s="380">
        <f>IFERROR((Z14-W14)/W14,)</f>
        <v>0.85793424668279561</v>
      </c>
      <c r="AB14" s="530">
        <f>IFERROR((Z14-N14)/N14,)</f>
        <v>5.7133042515880614</v>
      </c>
      <c r="AC14" s="531">
        <v>-2.3085438999999999E-2</v>
      </c>
      <c r="AD14" s="380">
        <f>IFERROR((AC14-Z14)/Z14,)</f>
        <v>-1.0891560288541193</v>
      </c>
      <c r="AE14" s="532">
        <f>IFERROR((AC14-Q14)/Q14,)</f>
        <v>-1.2511108028924065</v>
      </c>
      <c r="AF14" s="528">
        <v>1.0262209550000001</v>
      </c>
      <c r="AG14" s="380">
        <f>IFERROR((AF14-AC14)/AC14,)</f>
        <v>-45.453170459526461</v>
      </c>
      <c r="AH14" s="530">
        <f>IFERROR((AF14-T14)/T14,)</f>
        <v>6.031805394517991</v>
      </c>
      <c r="AI14" s="529">
        <v>0.20569116500000001</v>
      </c>
      <c r="AJ14" s="380">
        <f>IFERROR((AI14-AF14)/AF14,)</f>
        <v>-0.79956444662543469</v>
      </c>
      <c r="AK14" s="530">
        <f>IFERROR((AI14-W14)/W14,)</f>
        <v>0.47590551786995461</v>
      </c>
      <c r="AL14" s="529">
        <v>5.7536017000000002E-2</v>
      </c>
      <c r="AM14" s="380">
        <f>IFERROR((AL14-AI14)/AI14,)</f>
        <v>-0.72027959003489528</v>
      </c>
      <c r="AN14" s="530">
        <f>IFERROR((AL14-Z14)/Z14,)</f>
        <v>-0.77779574424367237</v>
      </c>
      <c r="AO14" s="531">
        <v>7.128845E-3</v>
      </c>
      <c r="AP14" s="380">
        <f>IFERROR((AO14-AL14)/AL14,)</f>
        <v>-0.87609769720417041</v>
      </c>
      <c r="AQ14" s="532">
        <f>IFERROR((AO14-AC14)/AC14,)</f>
        <v>-1.3088026612792594</v>
      </c>
      <c r="AR14" s="528">
        <v>1.47</v>
      </c>
      <c r="AS14" s="380">
        <f>IFERROR((AR14-AO14)/AO14,)</f>
        <v>205.20451138999374</v>
      </c>
      <c r="AT14" s="530">
        <f>IFERROR((AR14-AF14)/AF14,)</f>
        <v>0.43244005380887962</v>
      </c>
      <c r="AU14" s="529">
        <v>0.1</v>
      </c>
      <c r="AV14" s="380">
        <f>IFERROR((AU14-AR14)/AR14,)</f>
        <v>-0.93197278911564618</v>
      </c>
      <c r="AW14" s="530">
        <f>IFERROR((AU14-AI14)/AI14,)</f>
        <v>-0.51383424757208218</v>
      </c>
      <c r="AX14" s="529">
        <v>2.6094346549999998</v>
      </c>
      <c r="AY14" s="380">
        <f>IFERROR((AX14-AU14)/AU14,)</f>
        <v>25.094346549999997</v>
      </c>
      <c r="AZ14" s="530">
        <f>IFERROR((AX14-AL14)/AL14,)</f>
        <v>44.353063890397557</v>
      </c>
      <c r="BA14" s="531">
        <v>2.8508525E-2</v>
      </c>
      <c r="BB14" s="380">
        <f>IFERROR((BA14-AX14)/AX14,)</f>
        <v>-0.98907482701458949</v>
      </c>
      <c r="BC14" s="532">
        <f>IFERROR((BA14-AO14)/AO14,)</f>
        <v>2.999038413656069</v>
      </c>
      <c r="BD14" s="528">
        <v>0.70399999999999996</v>
      </c>
      <c r="BE14" s="380">
        <f>IFERROR((BD14-BA14)/BA14,)</f>
        <v>23.694367737369785</v>
      </c>
      <c r="BF14" s="530">
        <f>IFERROR((BD14-AR14)/AR14,)</f>
        <v>-0.52108843537414973</v>
      </c>
      <c r="BG14" s="529">
        <v>2.9740000000000002</v>
      </c>
      <c r="BH14" s="380">
        <f>IFERROR((BG14-BD14)/BD14,)</f>
        <v>3.2244318181818192</v>
      </c>
      <c r="BI14" s="530">
        <f>IFERROR((BG14-AU14)/AU14,)</f>
        <v>28.74</v>
      </c>
      <c r="BJ14" s="529">
        <v>5.4320000000000004</v>
      </c>
      <c r="BK14" s="380">
        <f>IFERROR((BJ14-BG14)/BG14,)</f>
        <v>0.82649630127774043</v>
      </c>
      <c r="BL14" s="530">
        <f>IFERROR((BJ14-AX14)/AX14,)</f>
        <v>1.0816769600233582</v>
      </c>
      <c r="BM14" s="531">
        <v>-6.5259999999999998</v>
      </c>
      <c r="BN14" s="380">
        <f>IFERROR((BM14-BJ14)/BJ14,)</f>
        <v>-2.2013991163475697</v>
      </c>
      <c r="BO14" s="532">
        <f>IFERROR((BM14-BA14)/BA14,)</f>
        <v>-229.91398274726595</v>
      </c>
      <c r="BP14" s="528">
        <v>4.3940000000000001</v>
      </c>
      <c r="BQ14" s="380">
        <f>IFERROR((BP14-BM14)/BM14,)</f>
        <v>-1.6733067729083666</v>
      </c>
      <c r="BR14" s="530">
        <f>IFERROR((BP14-BD14)/BD14,)</f>
        <v>5.2414772727272734</v>
      </c>
      <c r="BS14" s="529">
        <v>2.0270000000000001</v>
      </c>
      <c r="BT14" s="380">
        <f>IFERROR((BS14-BP14)/BP14,)</f>
        <v>-0.53868912152935822</v>
      </c>
      <c r="BU14" s="530">
        <f>IFERROR((BS14-BG14)/BG14,)</f>
        <v>-0.31842636180228651</v>
      </c>
      <c r="BV14" s="529">
        <v>4.0880000000000001</v>
      </c>
      <c r="BW14" s="380">
        <f>IFERROR((BV14-BS14)/BS14,)</f>
        <v>1.0167735569807597</v>
      </c>
      <c r="BX14" s="530">
        <f>IFERROR((BV14-BJ14)/BJ14,)</f>
        <v>-0.24742268041237117</v>
      </c>
      <c r="BY14" s="531">
        <v>-1.85</v>
      </c>
      <c r="BZ14" s="380">
        <f>IFERROR((BY14-BV14)/BV14,)</f>
        <v>-1.4525440313111546</v>
      </c>
      <c r="CA14" s="532">
        <f>IFERROR((BY14-BM14)/BM14,)</f>
        <v>-0.71651854121973646</v>
      </c>
      <c r="CB14" s="528">
        <v>6.48</v>
      </c>
      <c r="CC14" s="380">
        <f>IFERROR((CB14-BY14)/BY14,)</f>
        <v>-4.5027027027027025</v>
      </c>
      <c r="CD14" s="530">
        <f>IFERROR((CB14-BP14)/BP14,)</f>
        <v>0.47473827947200736</v>
      </c>
      <c r="CE14" s="529">
        <v>4.8540000000000001</v>
      </c>
      <c r="CF14" s="380">
        <f>IFERROR((CE14-CB14)/CB14,)</f>
        <v>-0.25092592592592594</v>
      </c>
      <c r="CG14" s="530">
        <f>IFERROR((CE14-BS14)/BS14,)</f>
        <v>1.3946719289590526</v>
      </c>
      <c r="CH14" s="531">
        <v>-3.06</v>
      </c>
      <c r="CI14" s="380">
        <f>IFERROR((CH14-CE14)/CE14,)</f>
        <v>-1.6304079110012359</v>
      </c>
      <c r="CJ14" s="530">
        <f>IFERROR((CH14-BV14)/BV14,)</f>
        <v>-1.7485322896281799</v>
      </c>
      <c r="CK14" s="529">
        <v>15.933351461000001</v>
      </c>
      <c r="CL14" s="380">
        <f>IFERROR((CK14-CH14)/CH14,)</f>
        <v>-6.2069776016339864</v>
      </c>
      <c r="CM14" s="532">
        <f>IFERROR((CK14-BY14)/BY14,)</f>
        <v>-9.612622411351353</v>
      </c>
    </row>
    <row r="15" spans="1:91" s="141" customFormat="1" ht="16.2" customHeight="1" x14ac:dyDescent="0.4">
      <c r="A15" s="156">
        <f t="shared" si="0"/>
        <v>13</v>
      </c>
      <c r="B15" s="493" t="s">
        <v>196</v>
      </c>
      <c r="C15" s="494" t="s">
        <v>60</v>
      </c>
      <c r="D15" s="495">
        <v>-0.40041795200000002</v>
      </c>
      <c r="E15" s="496">
        <v>0.115101702</v>
      </c>
      <c r="F15" s="496">
        <v>-1.7255959000000001E-2</v>
      </c>
      <c r="G15" s="533">
        <v>-0.43370875800000003</v>
      </c>
      <c r="H15" s="528">
        <v>-0.18034135900000001</v>
      </c>
      <c r="I15" s="380">
        <f t="shared" si="5"/>
        <v>-2.5668001069176198</v>
      </c>
      <c r="J15" s="530">
        <f>IFERROR((H15-D15)/D15,)</f>
        <v>-0.54961719848165047</v>
      </c>
      <c r="K15" s="531">
        <v>-0.16834172</v>
      </c>
      <c r="L15" s="380">
        <f t="shared" si="6"/>
        <v>-6.6538474959590421E-2</v>
      </c>
      <c r="M15" s="530">
        <f>IFERROR((K15-E15)/E15,)</f>
        <v>-2.4625476172367979</v>
      </c>
      <c r="N15" s="531">
        <v>-0.15194664599999999</v>
      </c>
      <c r="O15" s="380">
        <f t="shared" si="7"/>
        <v>-9.7391626983495294E-2</v>
      </c>
      <c r="P15" s="530">
        <f t="shared" ref="P15:P17" si="9">IFERROR((N15-F15)/F15,)</f>
        <v>7.8054593778299983</v>
      </c>
      <c r="Q15" s="531">
        <v>-6.2150292000000003E-2</v>
      </c>
      <c r="R15" s="380">
        <f t="shared" si="8"/>
        <v>-0.59097292611513119</v>
      </c>
      <c r="S15" s="532">
        <f t="shared" ref="S15:S18" si="10">IFERROR((Q15-G15)/G15,)</f>
        <v>-0.85670039893453109</v>
      </c>
      <c r="T15" s="528">
        <v>-7.8080283E-2</v>
      </c>
      <c r="U15" s="380">
        <f t="shared" ref="U15:U17" si="11">IFERROR((T15-Q15)/Q15,)</f>
        <v>0.25631401699609063</v>
      </c>
      <c r="V15" s="530">
        <f t="shared" ref="V15:V17" si="12">IFERROR((T15-H15)/H15,)</f>
        <v>-0.56704172890257531</v>
      </c>
      <c r="W15" s="531">
        <v>-0.192668323</v>
      </c>
      <c r="X15" s="380">
        <f t="shared" ref="X15:X17" si="13">IFERROR((W15-T15)/T15,)</f>
        <v>1.4675669144283199</v>
      </c>
      <c r="Y15" s="530">
        <f t="shared" ref="Y15:Y17" si="14">IFERROR((W15-K15)/K15,)</f>
        <v>0.14450727365741542</v>
      </c>
      <c r="Z15" s="531">
        <v>4.3191817E-2</v>
      </c>
      <c r="AA15" s="380">
        <f t="shared" ref="AA15:AA17" si="15">IFERROR((Z15-W15)/W15,)</f>
        <v>-1.2241770537443251</v>
      </c>
      <c r="AB15" s="530">
        <f t="shared" ref="AB15:AB17" si="16">IFERROR((Z15-N15)/N15,)</f>
        <v>-1.2842564685501514</v>
      </c>
      <c r="AC15" s="531">
        <v>-0.50881607200000001</v>
      </c>
      <c r="AD15" s="380">
        <f t="shared" ref="AD15:AD17" si="17">IFERROR((AC15-Z15)/Z15,)</f>
        <v>-12.780381269905824</v>
      </c>
      <c r="AE15" s="532">
        <f t="shared" ref="AE15:AE17" si="18">IFERROR((AC15-Q15)/Q15,)</f>
        <v>7.1868653489190359</v>
      </c>
      <c r="AF15" s="528">
        <v>0.22780895000000001</v>
      </c>
      <c r="AG15" s="380">
        <f t="shared" ref="AG15:AG17" si="19">IFERROR((AF15-AC15)/AC15,)</f>
        <v>-1.4477235734802025</v>
      </c>
      <c r="AH15" s="530">
        <f t="shared" ref="AH15:AH17" si="20">IFERROR((AF15-T15)/T15,)</f>
        <v>-3.9176245429335861</v>
      </c>
      <c r="AI15" s="531">
        <v>-0.37321935699999997</v>
      </c>
      <c r="AJ15" s="380">
        <f t="shared" ref="AJ15:AJ17" si="21">IFERROR((AI15-AF15)/AF15,)</f>
        <v>-2.6382997990201877</v>
      </c>
      <c r="AK15" s="530">
        <f t="shared" ref="AK15:AK17" si="22">IFERROR((AI15-W15)/W15,)</f>
        <v>0.93710803721481484</v>
      </c>
      <c r="AL15" s="531">
        <v>-0.48769772900000002</v>
      </c>
      <c r="AM15" s="380">
        <f t="shared" ref="AM15:AM17" si="23">IFERROR((AL15-AI15)/AI15,)</f>
        <v>0.30673213983378694</v>
      </c>
      <c r="AN15" s="530">
        <f t="shared" ref="AN15:AN17" si="24">IFERROR((AL15-Z15)/Z15,)</f>
        <v>-12.291438121253385</v>
      </c>
      <c r="AO15" s="531">
        <v>-2.0452344249999999</v>
      </c>
      <c r="AP15" s="380">
        <f t="shared" ref="AP15:AP17" si="25">IFERROR((AO15-AL15)/AL15,)</f>
        <v>3.1936517301272893</v>
      </c>
      <c r="AQ15" s="532">
        <f t="shared" ref="AQ15:AQ17" si="26">IFERROR((AO15-AC15)/AC15,)</f>
        <v>3.0195947760863961</v>
      </c>
      <c r="AR15" s="528">
        <v>0.18</v>
      </c>
      <c r="AS15" s="380">
        <f t="shared" ref="AS15:AS17" si="27">IFERROR((AR15-AO15)/AO15,)</f>
        <v>-1.0880094710903374</v>
      </c>
      <c r="AT15" s="530">
        <f t="shared" ref="AT15:AT17" si="28">IFERROR((AR15-AF15)/AF15,)</f>
        <v>-0.20986423053176803</v>
      </c>
      <c r="AU15" s="531">
        <v>-0.23</v>
      </c>
      <c r="AV15" s="380">
        <f t="shared" ref="AV15:AV17" si="29">IFERROR((AU15-AR15)/AR15,)</f>
        <v>-2.2777777777777781</v>
      </c>
      <c r="AW15" s="530">
        <f t="shared" ref="AW15:AW17" si="30">IFERROR((AU15-AI15)/AI15,)</f>
        <v>-0.38374043123384938</v>
      </c>
      <c r="AX15" s="531">
        <v>-9.1640764E-2</v>
      </c>
      <c r="AY15" s="380">
        <f t="shared" ref="AY15:AY17" si="31">IFERROR((AX15-AU15)/AU15,)</f>
        <v>-0.60156189565217388</v>
      </c>
      <c r="AZ15" s="530">
        <f t="shared" ref="AZ15:AZ17" si="32">IFERROR((AX15-AL15)/AL15,)</f>
        <v>-0.81209515945890332</v>
      </c>
      <c r="BA15" s="531">
        <v>-0.22806104099999999</v>
      </c>
      <c r="BB15" s="380">
        <f t="shared" ref="BB15:BB17" si="33">IFERROR((BA15-AX15)/AX15,)</f>
        <v>1.4886418559321482</v>
      </c>
      <c r="BC15" s="532">
        <f t="shared" ref="BC15:BC17" si="34">IFERROR((BA15-AO15)/AO15,)</f>
        <v>-0.88849149114043491</v>
      </c>
      <c r="BD15" s="528">
        <v>-0.79200000000000004</v>
      </c>
      <c r="BE15" s="380">
        <f t="shared" ref="BE15:BE17" si="35">IFERROR((BD15-BA15)/BA15,)</f>
        <v>2.472754471904739</v>
      </c>
      <c r="BF15" s="530">
        <f t="shared" ref="BF15:BF17" si="36">IFERROR((BD15-AR15)/AR15,)</f>
        <v>-5.4</v>
      </c>
      <c r="BG15" s="531">
        <v>-0.73099999999999998</v>
      </c>
      <c r="BH15" s="380">
        <f t="shared" ref="BH15:BH17" si="37">IFERROR((BG15-BD15)/BD15,)</f>
        <v>-7.7020202020202086E-2</v>
      </c>
      <c r="BI15" s="530">
        <f t="shared" ref="BI15:BI17" si="38">IFERROR((BG15-AU15)/AU15,)</f>
        <v>2.1782608695652175</v>
      </c>
      <c r="BJ15" s="531">
        <v>-0.77</v>
      </c>
      <c r="BK15" s="380">
        <f t="shared" ref="BK15:BK17" si="39">IFERROR((BJ15-BG15)/BG15,)</f>
        <v>5.3351573187414549E-2</v>
      </c>
      <c r="BL15" s="530">
        <f t="shared" ref="BL15:BL17" si="40">IFERROR((BJ15-AX15)/AX15,)</f>
        <v>7.402374297097742</v>
      </c>
      <c r="BM15" s="531">
        <v>-2.38</v>
      </c>
      <c r="BN15" s="380">
        <f t="shared" ref="BN15:BN17" si="41">IFERROR((BM15-BJ15)/BJ15,)</f>
        <v>2.0909090909090908</v>
      </c>
      <c r="BO15" s="532">
        <f t="shared" ref="BO15:BO17" si="42">IFERROR((BM15-BA15)/BA15,)</f>
        <v>9.4358025797137355</v>
      </c>
      <c r="BP15" s="528">
        <v>-1.145</v>
      </c>
      <c r="BQ15" s="380">
        <f t="shared" ref="BQ15:BQ17" si="43">IFERROR((BP15-BM15)/BM15,)</f>
        <v>-0.51890756302521002</v>
      </c>
      <c r="BR15" s="530">
        <f t="shared" ref="BR15:BR17" si="44">IFERROR((BP15-BD15)/BD15,)</f>
        <v>0.44570707070707066</v>
      </c>
      <c r="BS15" s="531">
        <v>-0.48899999999999999</v>
      </c>
      <c r="BT15" s="380">
        <f t="shared" ref="BT15:BT17" si="45">IFERROR((BS15-BP15)/BP15,)</f>
        <v>-0.57292576419213981</v>
      </c>
      <c r="BU15" s="530">
        <f t="shared" ref="BU15:BU17" si="46">IFERROR((BS15-BG15)/BG15,)</f>
        <v>-0.33105335157318744</v>
      </c>
      <c r="BV15" s="531">
        <v>-0.56399999999999995</v>
      </c>
      <c r="BW15" s="380">
        <f t="shared" ref="BW15:BW17" si="47">IFERROR((BV15-BS15)/BS15,)</f>
        <v>0.15337423312883428</v>
      </c>
      <c r="BX15" s="530">
        <f t="shared" ref="BX15:BX17" si="48">IFERROR((BV15-BJ15)/BJ15,)</f>
        <v>-0.26753246753246762</v>
      </c>
      <c r="BY15" s="531">
        <v>-1.395</v>
      </c>
      <c r="BZ15" s="380">
        <f t="shared" ref="BZ15:BZ17" si="49">IFERROR((BY15-BV15)/BV15,)</f>
        <v>1.4734042553191493</v>
      </c>
      <c r="CA15" s="532">
        <f t="shared" ref="CA15:CA17" si="50">IFERROR((BY15-BM15)/BM15,)</f>
        <v>-0.41386554621848737</v>
      </c>
      <c r="CB15" s="528">
        <v>-0.55600000000000005</v>
      </c>
      <c r="CC15" s="380">
        <f>IFERROR((CB15-BY15)/BY15,)</f>
        <v>-0.60143369175627237</v>
      </c>
      <c r="CD15" s="530">
        <f>IFERROR((CB15-BP15)/BP15,)</f>
        <v>-0.51441048034934489</v>
      </c>
      <c r="CE15" s="531">
        <v>-0.53600000000000003</v>
      </c>
      <c r="CF15" s="380">
        <f t="shared" ref="CF15:CF17" si="51">IFERROR((CE15-CB15)/CB15,)</f>
        <v>-3.597122302158276E-2</v>
      </c>
      <c r="CG15" s="530">
        <f>IFERROR((CE15-BS15)/BS15,)</f>
        <v>9.6114519427402956E-2</v>
      </c>
      <c r="CH15" s="531">
        <v>-2.6746856170000002</v>
      </c>
      <c r="CI15" s="380">
        <f t="shared" ref="CI15:CI17" si="52">IFERROR((CH15-CE15)/CE15,)</f>
        <v>3.9900851063432836</v>
      </c>
      <c r="CJ15" s="530">
        <f>IFERROR((CH15-BV15)/BV15,)</f>
        <v>3.7423503847517736</v>
      </c>
      <c r="CK15" s="531">
        <v>-0.91661571799999997</v>
      </c>
      <c r="CL15" s="380">
        <f t="shared" ref="CL15:CL17" si="53">IFERROR((CK15-CH15)/CH15,)</f>
        <v>-0.65729964218071313</v>
      </c>
      <c r="CM15" s="532">
        <f>IFERROR((CK15-BY15)/BY15,)</f>
        <v>-0.34292780071684592</v>
      </c>
    </row>
    <row r="16" spans="1:91" s="141" customFormat="1" ht="16.2" customHeight="1" x14ac:dyDescent="0.4">
      <c r="A16" s="156">
        <f t="shared" si="0"/>
        <v>14</v>
      </c>
      <c r="B16" s="493" t="s">
        <v>198</v>
      </c>
      <c r="C16" s="494" t="s">
        <v>61</v>
      </c>
      <c r="D16" s="495">
        <v>9.2144397000000003E-2</v>
      </c>
      <c r="E16" s="496">
        <v>0.109532779</v>
      </c>
      <c r="F16" s="496">
        <v>0.13832414700000001</v>
      </c>
      <c r="G16" s="533">
        <v>9.7027447000000003E-2</v>
      </c>
      <c r="H16" s="528">
        <v>5.1376668E-2</v>
      </c>
      <c r="I16" s="380">
        <f t="shared" si="5"/>
        <v>-0.53094709666774731</v>
      </c>
      <c r="J16" s="530">
        <f>IFERROR((H16-D16)/D16,)</f>
        <v>-0.44243307599050219</v>
      </c>
      <c r="K16" s="529">
        <v>0.230574008</v>
      </c>
      <c r="L16" s="380">
        <f t="shared" si="6"/>
        <v>3.4879128401242365</v>
      </c>
      <c r="M16" s="530">
        <f>IFERROR((K16-E16)/E16,)</f>
        <v>1.1050685475623694</v>
      </c>
      <c r="N16" s="529">
        <v>2.8508344000000001E-2</v>
      </c>
      <c r="O16" s="380">
        <f t="shared" si="7"/>
        <v>-0.8763592468757363</v>
      </c>
      <c r="P16" s="530">
        <f t="shared" si="9"/>
        <v>-0.7939018991384057</v>
      </c>
      <c r="Q16" s="531">
        <v>0.199558661</v>
      </c>
      <c r="R16" s="380">
        <f t="shared" si="8"/>
        <v>6.0000088745947497</v>
      </c>
      <c r="S16" s="532">
        <f t="shared" si="10"/>
        <v>1.0567238154787273</v>
      </c>
      <c r="T16" s="528">
        <v>5.9530184999999999E-2</v>
      </c>
      <c r="U16" s="380">
        <f t="shared" si="11"/>
        <v>-0.70169079757455388</v>
      </c>
      <c r="V16" s="530">
        <f t="shared" si="12"/>
        <v>0.15870077444492894</v>
      </c>
      <c r="W16" s="529">
        <v>6.1527258000000001E-2</v>
      </c>
      <c r="X16" s="380">
        <f t="shared" si="13"/>
        <v>3.3547233222943992E-2</v>
      </c>
      <c r="Y16" s="530">
        <f t="shared" si="14"/>
        <v>-0.73315614134616591</v>
      </c>
      <c r="Z16" s="529">
        <v>0.101154302</v>
      </c>
      <c r="AA16" s="380">
        <f t="shared" si="15"/>
        <v>0.6440567203563663</v>
      </c>
      <c r="AB16" s="530">
        <f t="shared" si="16"/>
        <v>2.5482349307978041</v>
      </c>
      <c r="AC16" s="531">
        <v>3.5517052E-2</v>
      </c>
      <c r="AD16" s="380">
        <f t="shared" si="17"/>
        <v>-0.64888243705146631</v>
      </c>
      <c r="AE16" s="532">
        <f t="shared" si="18"/>
        <v>-0.82202199683029542</v>
      </c>
      <c r="AF16" s="528">
        <v>1.8995695999999999E-2</v>
      </c>
      <c r="AG16" s="380">
        <f t="shared" si="19"/>
        <v>-0.46516687252083877</v>
      </c>
      <c r="AH16" s="530">
        <f t="shared" si="20"/>
        <v>-0.68090648466824011</v>
      </c>
      <c r="AI16" s="529">
        <v>2.0578710000000002E-3</v>
      </c>
      <c r="AJ16" s="380">
        <f t="shared" si="21"/>
        <v>-0.89166645960221724</v>
      </c>
      <c r="AK16" s="530">
        <f t="shared" si="22"/>
        <v>-0.96655350706511245</v>
      </c>
      <c r="AL16" s="529">
        <v>2.5976808000000001E-2</v>
      </c>
      <c r="AM16" s="380">
        <f t="shared" si="23"/>
        <v>11.623146931950545</v>
      </c>
      <c r="AN16" s="530">
        <f t="shared" si="24"/>
        <v>-0.74319621126939317</v>
      </c>
      <c r="AO16" s="531">
        <v>2.8282425999999999E-2</v>
      </c>
      <c r="AP16" s="380">
        <f t="shared" si="25"/>
        <v>8.8756786438118143E-2</v>
      </c>
      <c r="AQ16" s="532">
        <f t="shared" si="26"/>
        <v>-0.20369443950472019</v>
      </c>
      <c r="AR16" s="528">
        <v>0.01</v>
      </c>
      <c r="AS16" s="380">
        <f t="shared" si="27"/>
        <v>-0.64642354230856991</v>
      </c>
      <c r="AT16" s="530">
        <f t="shared" si="28"/>
        <v>-0.47356495913600638</v>
      </c>
      <c r="AU16" s="529">
        <v>0.04</v>
      </c>
      <c r="AV16" s="380">
        <f t="shared" si="29"/>
        <v>3</v>
      </c>
      <c r="AW16" s="530">
        <f t="shared" si="30"/>
        <v>18.437564356560735</v>
      </c>
      <c r="AX16" s="529">
        <v>5.6398878E-2</v>
      </c>
      <c r="AY16" s="380">
        <f t="shared" si="31"/>
        <v>0.40997194999999997</v>
      </c>
      <c r="AZ16" s="530">
        <f t="shared" si="32"/>
        <v>1.1711242582229502</v>
      </c>
      <c r="BA16" s="531">
        <v>0.10614963700000001</v>
      </c>
      <c r="BB16" s="380">
        <f t="shared" si="33"/>
        <v>0.88212320464956773</v>
      </c>
      <c r="BC16" s="532">
        <f t="shared" si="34"/>
        <v>2.7532012635691157</v>
      </c>
      <c r="BD16" s="528">
        <v>2E-3</v>
      </c>
      <c r="BE16" s="380">
        <f t="shared" si="35"/>
        <v>-0.98115867320394134</v>
      </c>
      <c r="BF16" s="530">
        <f t="shared" si="36"/>
        <v>-0.8</v>
      </c>
      <c r="BG16" s="529">
        <v>2.7E-2</v>
      </c>
      <c r="BH16" s="380">
        <f t="shared" si="37"/>
        <v>12.5</v>
      </c>
      <c r="BI16" s="530">
        <f t="shared" si="38"/>
        <v>-0.32500000000000001</v>
      </c>
      <c r="BJ16" s="529">
        <v>5.0000000000000001E-3</v>
      </c>
      <c r="BK16" s="380">
        <f t="shared" si="39"/>
        <v>-0.81481481481481477</v>
      </c>
      <c r="BL16" s="530">
        <f t="shared" si="40"/>
        <v>-0.91134575407688079</v>
      </c>
      <c r="BM16" s="531">
        <v>30.338000000000001</v>
      </c>
      <c r="BN16" s="380">
        <f t="shared" si="41"/>
        <v>6066.6</v>
      </c>
      <c r="BO16" s="532">
        <f t="shared" si="42"/>
        <v>284.80408616941384</v>
      </c>
      <c r="BP16" s="528">
        <v>1E-3</v>
      </c>
      <c r="BQ16" s="380">
        <f t="shared" si="43"/>
        <v>-0.99996703803810394</v>
      </c>
      <c r="BR16" s="530">
        <f t="shared" si="44"/>
        <v>-0.5</v>
      </c>
      <c r="BS16" s="529">
        <v>1.4999999999999999E-2</v>
      </c>
      <c r="BT16" s="380">
        <f t="shared" si="45"/>
        <v>13.999999999999998</v>
      </c>
      <c r="BU16" s="530">
        <f t="shared" si="46"/>
        <v>-0.44444444444444448</v>
      </c>
      <c r="BV16" s="529">
        <v>1.4999999999999999E-2</v>
      </c>
      <c r="BW16" s="380">
        <f t="shared" si="47"/>
        <v>0</v>
      </c>
      <c r="BX16" s="530">
        <f t="shared" si="48"/>
        <v>1.9999999999999996</v>
      </c>
      <c r="BY16" s="531">
        <v>1.7429601999999999E-2</v>
      </c>
      <c r="BZ16" s="380">
        <f t="shared" si="49"/>
        <v>0.16197346666666665</v>
      </c>
      <c r="CA16" s="532">
        <f t="shared" si="50"/>
        <v>-0.99942548612301407</v>
      </c>
      <c r="CB16" s="528">
        <v>4.0000000000000002E-4</v>
      </c>
      <c r="CC16" s="380">
        <f>IFERROR((CB16-BY16)/BY16,)</f>
        <v>-0.97705053735593039</v>
      </c>
      <c r="CD16" s="530">
        <f>IFERROR((CB16-BP16)/BP16,)</f>
        <v>-0.60000000000000009</v>
      </c>
      <c r="CE16" s="529">
        <v>0.01</v>
      </c>
      <c r="CF16" s="380">
        <f t="shared" si="51"/>
        <v>24</v>
      </c>
      <c r="CG16" s="530">
        <f>IFERROR((CE16-BS16)/BS16,)</f>
        <v>-0.33333333333333331</v>
      </c>
      <c r="CH16" s="529">
        <v>1.3751589999999999E-3</v>
      </c>
      <c r="CI16" s="380">
        <f t="shared" si="52"/>
        <v>-0.86248410000000009</v>
      </c>
      <c r="CJ16" s="530">
        <f>IFERROR((CH16-BV16)/BV16,)</f>
        <v>-0.90832273333333324</v>
      </c>
      <c r="CK16" s="627">
        <v>1.6804752999999999E-2</v>
      </c>
      <c r="CL16" s="380">
        <f t="shared" si="53"/>
        <v>11.220225443021496</v>
      </c>
      <c r="CM16" s="628">
        <f>IFERROR((CK16-BY16)/BY16,)</f>
        <v>-3.5849871959210557E-2</v>
      </c>
    </row>
    <row r="17" spans="1:92" s="141" customFormat="1" ht="16.2" customHeight="1" x14ac:dyDescent="0.4">
      <c r="A17" s="156">
        <f t="shared" si="0"/>
        <v>15</v>
      </c>
      <c r="B17" s="493" t="s">
        <v>200</v>
      </c>
      <c r="C17" s="494" t="s">
        <v>62</v>
      </c>
      <c r="D17" s="495">
        <v>-1.118314E-3</v>
      </c>
      <c r="E17" s="496">
        <v>-2.3123229999999998E-3</v>
      </c>
      <c r="F17" s="496">
        <v>-1.9499584E-2</v>
      </c>
      <c r="G17" s="533">
        <v>-13.781930704000001</v>
      </c>
      <c r="H17" s="528">
        <v>-2.210105E-3</v>
      </c>
      <c r="I17" s="380">
        <f t="shared" si="5"/>
        <v>-4.4205761911290012E-2</v>
      </c>
      <c r="J17" s="530">
        <f>IFERROR((H17-D17)/D17,)</f>
        <v>0.97628304751617156</v>
      </c>
      <c r="K17" s="531">
        <v>-2.2059477000000001E-2</v>
      </c>
      <c r="L17" s="380">
        <f t="shared" si="6"/>
        <v>8.9811895814904723</v>
      </c>
      <c r="M17" s="530">
        <f>IFERROR((K17-E17)/E17,)</f>
        <v>8.5399634912596571</v>
      </c>
      <c r="N17" s="531">
        <v>-1.448073E-3</v>
      </c>
      <c r="O17" s="380">
        <f t="shared" si="7"/>
        <v>-0.93435596863878501</v>
      </c>
      <c r="P17" s="530">
        <f t="shared" si="9"/>
        <v>-0.92573826190343333</v>
      </c>
      <c r="Q17" s="531">
        <v>-2.1130004000000001E-2</v>
      </c>
      <c r="R17" s="380">
        <f t="shared" si="8"/>
        <v>13.591808562137405</v>
      </c>
      <c r="S17" s="532">
        <f t="shared" si="10"/>
        <v>-0.99846683280783965</v>
      </c>
      <c r="T17" s="528">
        <v>-1.452675E-2</v>
      </c>
      <c r="U17" s="380">
        <f t="shared" si="11"/>
        <v>-0.31250604590514991</v>
      </c>
      <c r="V17" s="530">
        <f t="shared" si="12"/>
        <v>5.5728777592014858</v>
      </c>
      <c r="W17" s="531">
        <v>-2.9060919999999999E-3</v>
      </c>
      <c r="X17" s="380">
        <f t="shared" si="13"/>
        <v>-0.79994892181664856</v>
      </c>
      <c r="Y17" s="530">
        <f t="shared" si="14"/>
        <v>-0.86826106530086822</v>
      </c>
      <c r="Z17" s="531">
        <v>-1.4999999999999999E-4</v>
      </c>
      <c r="AA17" s="380">
        <f t="shared" si="15"/>
        <v>-0.94838429065562968</v>
      </c>
      <c r="AB17" s="530">
        <f t="shared" si="16"/>
        <v>-0.89641406199825568</v>
      </c>
      <c r="AC17" s="531">
        <v>9.8319999999999994E-5</v>
      </c>
      <c r="AD17" s="380">
        <f t="shared" si="17"/>
        <v>-1.6554666666666669</v>
      </c>
      <c r="AE17" s="532">
        <f t="shared" si="18"/>
        <v>-1.00465309897717</v>
      </c>
      <c r="AF17" s="528">
        <v>-6.4108600000000002E-4</v>
      </c>
      <c r="AG17" s="380">
        <f t="shared" si="19"/>
        <v>-7.5204027664768107</v>
      </c>
      <c r="AH17" s="530">
        <f t="shared" si="20"/>
        <v>-0.95586858726143142</v>
      </c>
      <c r="AI17" s="531">
        <v>-7.3895469999999998E-3</v>
      </c>
      <c r="AJ17" s="380">
        <f t="shared" si="21"/>
        <v>10.526607974593112</v>
      </c>
      <c r="AK17" s="530">
        <f t="shared" si="22"/>
        <v>1.5427780675904272</v>
      </c>
      <c r="AL17" s="531">
        <v>-1.3000000000000001E-8</v>
      </c>
      <c r="AM17" s="380">
        <f t="shared" si="23"/>
        <v>-0.99999824075819532</v>
      </c>
      <c r="AN17" s="530">
        <f t="shared" si="24"/>
        <v>-0.99991333333333343</v>
      </c>
      <c r="AO17" s="531">
        <v>-7.17883E-4</v>
      </c>
      <c r="AP17" s="380">
        <f t="shared" si="25"/>
        <v>55220.769230769227</v>
      </c>
      <c r="AQ17" s="532">
        <f t="shared" si="26"/>
        <v>-8.3014951179820997</v>
      </c>
      <c r="AR17" s="528">
        <v>-1.24E-5</v>
      </c>
      <c r="AS17" s="380">
        <f t="shared" si="27"/>
        <v>-0.98272699033129363</v>
      </c>
      <c r="AT17" s="530">
        <f t="shared" si="28"/>
        <v>-0.98065782125955026</v>
      </c>
      <c r="AU17" s="531">
        <v>-0.01</v>
      </c>
      <c r="AV17" s="380">
        <f t="shared" si="29"/>
        <v>805.45161290322585</v>
      </c>
      <c r="AW17" s="530">
        <f t="shared" si="30"/>
        <v>0.3532629266719598</v>
      </c>
      <c r="AX17" s="531">
        <v>-2.5883682000000002E-2</v>
      </c>
      <c r="AY17" s="380">
        <f t="shared" si="31"/>
        <v>1.5883682000000003</v>
      </c>
      <c r="AZ17" s="530">
        <f t="shared" si="32"/>
        <v>1991051.4615384615</v>
      </c>
      <c r="BA17" s="531">
        <v>-0.115268385</v>
      </c>
      <c r="BB17" s="380">
        <f t="shared" si="33"/>
        <v>3.4533225605228806</v>
      </c>
      <c r="BC17" s="532">
        <f t="shared" si="34"/>
        <v>159.56709101622408</v>
      </c>
      <c r="BD17" s="528">
        <v>-1.9999999999999999E-6</v>
      </c>
      <c r="BE17" s="380">
        <f t="shared" si="35"/>
        <v>-0.99998264918867386</v>
      </c>
      <c r="BF17" s="530">
        <f t="shared" si="36"/>
        <v>-0.83870967741935487</v>
      </c>
      <c r="BG17" s="531">
        <v>-2.0000000000000001E-4</v>
      </c>
      <c r="BH17" s="380">
        <f t="shared" si="37"/>
        <v>99.000000000000014</v>
      </c>
      <c r="BI17" s="530">
        <f t="shared" si="38"/>
        <v>-0.98</v>
      </c>
      <c r="BJ17" s="531">
        <v>-6.0000000000000002E-5</v>
      </c>
      <c r="BK17" s="380">
        <f t="shared" si="39"/>
        <v>-0.70000000000000007</v>
      </c>
      <c r="BL17" s="530">
        <f t="shared" si="40"/>
        <v>-0.99768193721434217</v>
      </c>
      <c r="BM17" s="531">
        <v>-0.4</v>
      </c>
      <c r="BN17" s="380">
        <f t="shared" si="41"/>
        <v>6665.666666666667</v>
      </c>
      <c r="BO17" s="532">
        <f t="shared" si="42"/>
        <v>2.4701622652212918</v>
      </c>
      <c r="BP17" s="528">
        <v>-1.0999999999999999E-2</v>
      </c>
      <c r="BQ17" s="380">
        <f t="shared" si="43"/>
        <v>-0.97250000000000003</v>
      </c>
      <c r="BR17" s="530">
        <f t="shared" si="44"/>
        <v>5499</v>
      </c>
      <c r="BS17" s="531">
        <v>-5.0999999999999997E-2</v>
      </c>
      <c r="BT17" s="380">
        <f t="shared" si="45"/>
        <v>3.6363636363636358</v>
      </c>
      <c r="BU17" s="530">
        <f t="shared" si="46"/>
        <v>253.99999999999997</v>
      </c>
      <c r="BV17" s="531">
        <v>-0.434</v>
      </c>
      <c r="BW17" s="380">
        <f t="shared" si="47"/>
        <v>7.5098039215686283</v>
      </c>
      <c r="BX17" s="530">
        <f t="shared" si="48"/>
        <v>7232.333333333333</v>
      </c>
      <c r="BY17" s="531">
        <v>-0.39800000000000002</v>
      </c>
      <c r="BZ17" s="380">
        <f t="shared" si="49"/>
        <v>-8.2949308755760315E-2</v>
      </c>
      <c r="CA17" s="532">
        <f t="shared" si="50"/>
        <v>-5.0000000000000044E-3</v>
      </c>
      <c r="CB17" s="528">
        <v>-0.34599999999999997</v>
      </c>
      <c r="CC17" s="380">
        <f>IFERROR((CB17-BY17)/BY17,)</f>
        <v>-0.13065326633165841</v>
      </c>
      <c r="CD17" s="530">
        <f>IFERROR((CB17-BP17)/BP17,)</f>
        <v>30.454545454545453</v>
      </c>
      <c r="CE17" s="531">
        <v>-1.2410000000000001</v>
      </c>
      <c r="CF17" s="380">
        <f t="shared" si="51"/>
        <v>2.5867052023121393</v>
      </c>
      <c r="CG17" s="530">
        <f>IFERROR((CE17-BS17)/BS17,)</f>
        <v>23.333333333333339</v>
      </c>
      <c r="CH17" s="531">
        <v>2.069708E-3</v>
      </c>
      <c r="CI17" s="380">
        <f t="shared" si="52"/>
        <v>-1.0016677743755036</v>
      </c>
      <c r="CJ17" s="530">
        <f>IFERROR((CH17-BV17)/BV17,)</f>
        <v>-1.0047689124423964</v>
      </c>
      <c r="CK17" s="531">
        <v>-11.417174411</v>
      </c>
      <c r="CL17" s="380">
        <f t="shared" si="53"/>
        <v>-5517.3213414645934</v>
      </c>
      <c r="CM17" s="532">
        <f>IFERROR((CK17-BY17)/BY17,)</f>
        <v>27.686367866834168</v>
      </c>
    </row>
    <row r="18" spans="1:92" s="6" customFormat="1" ht="23.4" customHeight="1" x14ac:dyDescent="0.4">
      <c r="A18" s="156">
        <f t="shared" si="0"/>
        <v>16</v>
      </c>
      <c r="B18" s="520" t="s">
        <v>255</v>
      </c>
      <c r="C18" s="497" t="s">
        <v>350</v>
      </c>
      <c r="D18" s="534">
        <f t="shared" ref="D18:F18" si="54">D11+D13+D14+D15+D16+D17</f>
        <v>2.7905542539999999</v>
      </c>
      <c r="E18" s="535">
        <f t="shared" si="54"/>
        <v>3.4159175340000005</v>
      </c>
      <c r="F18" s="535">
        <f t="shared" si="54"/>
        <v>2.9286155839999992</v>
      </c>
      <c r="G18" s="536">
        <f>G11+G13+G14+G15+G16+G17</f>
        <v>-12.281021441</v>
      </c>
      <c r="H18" s="537">
        <f>H11+H13+H14+H15+H16+H17</f>
        <v>2.5119739050000001</v>
      </c>
      <c r="I18" s="374">
        <f>H18/G18-1</f>
        <v>-1.2045411220123607</v>
      </c>
      <c r="J18" s="629">
        <f>H18/D18-1</f>
        <v>-9.9829755540742804E-2</v>
      </c>
      <c r="K18" s="630">
        <f>K11+K13+K14+K15+K16+K17</f>
        <v>4.495880111</v>
      </c>
      <c r="L18" s="374">
        <f>K18/H18-1</f>
        <v>0.78977978316219799</v>
      </c>
      <c r="M18" s="629">
        <f>K18/E18-1</f>
        <v>0.31615592772679602</v>
      </c>
      <c r="N18" s="630">
        <f>N11+N13+N14+N15+N16+N17</f>
        <v>4.0336837539999992</v>
      </c>
      <c r="O18" s="374">
        <f>N18/K18-1</f>
        <v>-0.10280442217957553</v>
      </c>
      <c r="P18" s="629">
        <f>N18/F18-1</f>
        <v>0.37733466148215378</v>
      </c>
      <c r="Q18" s="630">
        <f>Q11+Q13+Q14+Q15+Q16+Q17</f>
        <v>6.745211642000001</v>
      </c>
      <c r="R18" s="374">
        <f>Q18/N18-1</f>
        <v>0.67222123829393343</v>
      </c>
      <c r="S18" s="631">
        <f t="shared" si="10"/>
        <v>-1.5492386504172377</v>
      </c>
      <c r="T18" s="632">
        <f>T11+T13+T14+T15+T16+T17</f>
        <v>7.5578630490000016</v>
      </c>
      <c r="U18" s="374">
        <f>T18/Q18-1</f>
        <v>0.12047826667734385</v>
      </c>
      <c r="V18" s="629">
        <f>T18/H18-1</f>
        <v>2.0087346982213181</v>
      </c>
      <c r="W18" s="630">
        <f>W11+W13+W14+W15+W16+W17</f>
        <v>9.5733189219999986</v>
      </c>
      <c r="X18" s="374">
        <f>W18/T18-1</f>
        <v>0.26667007061826387</v>
      </c>
      <c r="Y18" s="629">
        <f>W18/K18-1</f>
        <v>1.1293536939690871</v>
      </c>
      <c r="Z18" s="630">
        <f>Z11+Z13+Z14+Z15+Z16+Z17</f>
        <v>12.166857307999997</v>
      </c>
      <c r="AA18" s="374">
        <f>Z18/W18-1</f>
        <v>0.27091319187538065</v>
      </c>
      <c r="AB18" s="629">
        <f>Z18/N18-1</f>
        <v>2.0163141312044464</v>
      </c>
      <c r="AC18" s="630">
        <f>AC11+AC13+AC14+AC15+AC16+AC17</f>
        <v>12.436985682999996</v>
      </c>
      <c r="AD18" s="374">
        <f>AC18/Z18-1</f>
        <v>2.220198430554321E-2</v>
      </c>
      <c r="AE18" s="631">
        <f>AC18/Q18-1</f>
        <v>0.84382438136697901</v>
      </c>
      <c r="AF18" s="632">
        <f>AF11+AF13+AF14+AF15+AF16+AF17</f>
        <v>14.706384514999996</v>
      </c>
      <c r="AG18" s="374">
        <f>AF18/AC18-1</f>
        <v>0.18247177329326836</v>
      </c>
      <c r="AH18" s="629">
        <f>AF18/T18-1</f>
        <v>0.94583897851203225</v>
      </c>
      <c r="AI18" s="630">
        <f>AI11+AI13+AI14+AI15+AI16+AI17</f>
        <v>6.1944018940000012</v>
      </c>
      <c r="AJ18" s="374">
        <f>AI18/AF18-1</f>
        <v>-0.5787950541017115</v>
      </c>
      <c r="AK18" s="629">
        <f>AI18/W18-1</f>
        <v>-0.35295147435599006</v>
      </c>
      <c r="AL18" s="630">
        <f>AL11+AL13+AL14+AL15+AL16+AL17</f>
        <v>11.460815083000002</v>
      </c>
      <c r="AM18" s="374">
        <f>AL18/AI18-1</f>
        <v>0.85018913514493377</v>
      </c>
      <c r="AN18" s="629">
        <f>AL18/Z18-1</f>
        <v>-5.8029958528054371E-2</v>
      </c>
      <c r="AO18" s="630">
        <f>AO11+AO13+AO14+AO15+AO16+AO17</f>
        <v>6.9331972009999943</v>
      </c>
      <c r="AP18" s="374">
        <f>AO18/AL18-1</f>
        <v>-0.39505199666958157</v>
      </c>
      <c r="AQ18" s="631">
        <f>AO18/AC18-1</f>
        <v>-0.44253395656176409</v>
      </c>
      <c r="AR18" s="632">
        <f>AR11+AR13+AR14+AR15+AR16+AR17</f>
        <v>12.5549876</v>
      </c>
      <c r="AS18" s="374">
        <f>AR18/AO18-1</f>
        <v>0.81085107433395365</v>
      </c>
      <c r="AT18" s="629">
        <f>AR18/AF18-1</f>
        <v>-0.14628999485261973</v>
      </c>
      <c r="AU18" s="630">
        <f>AU11+AU13+AU14+AU15+AU16+AU17</f>
        <v>15.990000000000004</v>
      </c>
      <c r="AV18" s="374">
        <f>AU18/AR18-1</f>
        <v>0.27359743469599307</v>
      </c>
      <c r="AW18" s="629">
        <f>AU18/AI18-1</f>
        <v>1.5813630231981199</v>
      </c>
      <c r="AX18" s="630">
        <f>AX11+AX13+AX14+AX15+AX16+AX17</f>
        <v>15.877309087000002</v>
      </c>
      <c r="AY18" s="374">
        <f>AX18/AU18-1</f>
        <v>-7.0475868042527701E-3</v>
      </c>
      <c r="AZ18" s="629">
        <f>AX18/AL18-1</f>
        <v>0.38535601281544563</v>
      </c>
      <c r="BA18" s="630">
        <f>BA11+BA13+BA14+BA15+BA16+BA17</f>
        <v>11.190328735999993</v>
      </c>
      <c r="BB18" s="374">
        <f>BA18/AX18-1</f>
        <v>-0.29519991865860995</v>
      </c>
      <c r="BC18" s="631">
        <f>BA18/AO18-1</f>
        <v>0.61402141199531735</v>
      </c>
      <c r="BD18" s="632">
        <f>BD11+BD13+BD14+BD15+BD16+BD17</f>
        <v>16.618997999999998</v>
      </c>
      <c r="BE18" s="374">
        <f>BD18/BA18-1</f>
        <v>0.48512151806011161</v>
      </c>
      <c r="BF18" s="629">
        <f>BD18/AR18-1</f>
        <v>0.32369688680536779</v>
      </c>
      <c r="BG18" s="630">
        <f>BG11+BG13+BG14+BG15+BG16+BG17</f>
        <v>17.532799999999995</v>
      </c>
      <c r="BH18" s="374">
        <f>BG18/BD18-1</f>
        <v>5.4985384798770465E-2</v>
      </c>
      <c r="BI18" s="629">
        <f>BG18/AU18-1</f>
        <v>9.6485303314570947E-2</v>
      </c>
      <c r="BJ18" s="630">
        <f>BJ11+BJ13+BJ14+BJ15+BJ16+BJ17</f>
        <v>22.146939999999997</v>
      </c>
      <c r="BK18" s="374">
        <f>BJ18/BG18-1</f>
        <v>0.26317188355539356</v>
      </c>
      <c r="BL18" s="629">
        <f>BJ18/AX18-1</f>
        <v>0.39487994336102172</v>
      </c>
      <c r="BM18" s="630">
        <f>BM11+BM13+BM14+BM15+BM16+BM17</f>
        <v>40.461000000000006</v>
      </c>
      <c r="BN18" s="374">
        <f>BM18/BJ18-1</f>
        <v>0.82693410466637873</v>
      </c>
      <c r="BO18" s="631">
        <f>BM18/BA18-1</f>
        <v>2.6157114732326332</v>
      </c>
      <c r="BP18" s="632">
        <f>BP11+BP13+BP14+BP15+BP16+BP17</f>
        <v>23.13</v>
      </c>
      <c r="BQ18" s="374">
        <f t="shared" ref="BQ18:BQ20" si="55">BP18/BM18-1</f>
        <v>-0.42833839994068368</v>
      </c>
      <c r="BR18" s="629">
        <f>BP18/BD18-1</f>
        <v>0.39178065970042253</v>
      </c>
      <c r="BS18" s="630">
        <f>BS11+BS13+BS14+BS15+BS16+BS17</f>
        <v>24.649000000000008</v>
      </c>
      <c r="BT18" s="374">
        <f t="shared" ref="BT18:BT19" si="56">BS18/BP18-1</f>
        <v>6.5672287073065716E-2</v>
      </c>
      <c r="BU18" s="629">
        <f t="shared" ref="BU18:BU20" si="57">BS18/BG18-1</f>
        <v>0.40587926628946969</v>
      </c>
      <c r="BV18" s="630">
        <f>BV11+BV13+BV14+BV15+BV16+BV17</f>
        <v>27.769000000000002</v>
      </c>
      <c r="BW18" s="374">
        <f t="shared" ref="BW18:BW19" si="58">BV18/BS18-1</f>
        <v>0.12657714308896884</v>
      </c>
      <c r="BX18" s="629">
        <f>BV18/BJ18-1</f>
        <v>0.25385267671290057</v>
      </c>
      <c r="BY18" s="630">
        <f>BY11+BY13+BY14+BY15+BY16+BY17</f>
        <v>18.295429602000006</v>
      </c>
      <c r="BZ18" s="374">
        <f>BY18/BV18-1</f>
        <v>-0.34115633973135495</v>
      </c>
      <c r="CA18" s="631">
        <f>BY18/BM18-1</f>
        <v>-0.54782557025283596</v>
      </c>
      <c r="CB18" s="632">
        <f>CB11+CB13+CB14+CB15+CB16+CB17</f>
        <v>32.086400000000005</v>
      </c>
      <c r="CC18" s="374">
        <f>CB18/BY18-1</f>
        <v>0.75379319852059701</v>
      </c>
      <c r="CD18" s="629">
        <f>CB18/BP18-1</f>
        <v>0.38722006052745384</v>
      </c>
      <c r="CE18" s="630">
        <f>CE11+CE13+CE14+CE15+CE16+CE17</f>
        <v>34.540999999999997</v>
      </c>
      <c r="CF18" s="374">
        <f t="shared" ref="CF18:CF19" si="59">CE18/CB18-1</f>
        <v>7.6499700807818538E-2</v>
      </c>
      <c r="CG18" s="629">
        <f>CE18/BS18-1</f>
        <v>0.40131445494746187</v>
      </c>
      <c r="CH18" s="630">
        <f>CH11+CH13+CH14+CH15+CH16+CH17</f>
        <v>22.398103704</v>
      </c>
      <c r="CI18" s="374">
        <f t="shared" ref="CI18:CI19" si="60">CH18/CE18-1</f>
        <v>-0.35155022425523286</v>
      </c>
      <c r="CJ18" s="629">
        <f>CH18/BV18-1</f>
        <v>-0.19341338528575036</v>
      </c>
      <c r="CK18" s="630">
        <f>CK11+CK13+CK14+CK15+CK16+CK17</f>
        <v>38.899779707000008</v>
      </c>
      <c r="CL18" s="374">
        <f t="shared" ref="CL18:CL19" si="61">CK18/CH18-1</f>
        <v>0.73674433430063235</v>
      </c>
      <c r="CM18" s="631">
        <f>CK18/BY18-1</f>
        <v>1.1262020380624236</v>
      </c>
    </row>
    <row r="19" spans="1:92" s="508" customFormat="1" x14ac:dyDescent="0.4">
      <c r="A19" s="156">
        <f t="shared" si="0"/>
        <v>17</v>
      </c>
      <c r="B19" s="498" t="s">
        <v>202</v>
      </c>
      <c r="C19" s="499" t="s">
        <v>266</v>
      </c>
      <c r="D19" s="500">
        <v>-0.61818885300000004</v>
      </c>
      <c r="E19" s="501">
        <v>-0.60237327299999999</v>
      </c>
      <c r="F19" s="501">
        <v>-0.77848917399999995</v>
      </c>
      <c r="G19" s="502">
        <v>1.4383714000000001E-2</v>
      </c>
      <c r="H19" s="503">
        <v>-0.5736539930000002</v>
      </c>
      <c r="I19" s="504">
        <v>-40.882188494571025</v>
      </c>
      <c r="J19" s="505">
        <v>-7.2040865479662486E-2</v>
      </c>
      <c r="K19" s="506">
        <v>-0.64937073899999964</v>
      </c>
      <c r="L19" s="250">
        <v>0.1319902710064452</v>
      </c>
      <c r="M19" s="505">
        <v>-46.146249362299585</v>
      </c>
      <c r="N19" s="506">
        <v>-1.2041696740000001</v>
      </c>
      <c r="O19" s="250">
        <v>0.85436392753754919</v>
      </c>
      <c r="P19" s="505">
        <v>15.715091718879243</v>
      </c>
      <c r="Q19" s="506">
        <v>-0.4960454349999992</v>
      </c>
      <c r="R19" s="504">
        <v>-0.58806018312000841</v>
      </c>
      <c r="S19" s="507">
        <v>-35.486603042858</v>
      </c>
      <c r="T19" s="503">
        <v>-1.6318683700000003</v>
      </c>
      <c r="U19" s="504">
        <v>2.2897558466594958</v>
      </c>
      <c r="V19" s="505">
        <v>1.8446910331189827</v>
      </c>
      <c r="W19" s="506">
        <v>-1.9464958900000005</v>
      </c>
      <c r="X19" s="504">
        <v>0.19280202115811584</v>
      </c>
      <c r="Y19" s="505">
        <v>1.9975109334268932</v>
      </c>
      <c r="Z19" s="506">
        <v>-2.6638573080000008</v>
      </c>
      <c r="AA19" s="504">
        <v>0.36853990891293398</v>
      </c>
      <c r="AB19" s="505">
        <v>1.2121943157322868</v>
      </c>
      <c r="AC19" s="506">
        <v>-2.0992788029999989</v>
      </c>
      <c r="AD19" s="504">
        <v>-0.21194022041063532</v>
      </c>
      <c r="AE19" s="507">
        <v>3.2320292757053641</v>
      </c>
      <c r="AF19" s="503">
        <v>-3.3021634419999994</v>
      </c>
      <c r="AG19" s="504">
        <v>0.57299899245445829</v>
      </c>
      <c r="AH19" s="505">
        <v>1.0235476725368473</v>
      </c>
      <c r="AI19" s="506">
        <v>-1.4744018940000014</v>
      </c>
      <c r="AJ19" s="504">
        <v>-0.55350426473530023</v>
      </c>
      <c r="AK19" s="505">
        <v>-0.24253531611618195</v>
      </c>
      <c r="AL19" s="506">
        <v>-2.6341666789999998</v>
      </c>
      <c r="AM19" s="504">
        <v>0.78660017307329722</v>
      </c>
      <c r="AN19" s="505">
        <v>-1.1145728005338418E-2</v>
      </c>
      <c r="AO19" s="506">
        <v>6.2813643110000026</v>
      </c>
      <c r="AP19" s="504">
        <v>-3.3845735963012702</v>
      </c>
      <c r="AQ19" s="507">
        <v>-3.9921534490909667</v>
      </c>
      <c r="AR19" s="503">
        <v>-2.9980000000000011</v>
      </c>
      <c r="AS19" s="504">
        <v>-1.4772848463429937</v>
      </c>
      <c r="AT19" s="505">
        <v>-9.2110353512901089E-2</v>
      </c>
      <c r="AU19" s="506">
        <v>-3.9310000000000009</v>
      </c>
      <c r="AV19" s="504">
        <v>0.31120747164776508</v>
      </c>
      <c r="AW19" s="505">
        <v>1.6661658642714663</v>
      </c>
      <c r="AX19" s="506">
        <v>-3.353086974</v>
      </c>
      <c r="AY19" s="504">
        <v>-0.14701425235309107</v>
      </c>
      <c r="AZ19" s="505">
        <v>0.27292133817170661</v>
      </c>
      <c r="BA19" s="506">
        <v>-1.5453642200000015</v>
      </c>
      <c r="BB19" s="504">
        <v>-0.53912193987724422</v>
      </c>
      <c r="BC19" s="507">
        <v>-1.2460236572003538</v>
      </c>
      <c r="BD19" s="503">
        <v>-3.8019999999999978</v>
      </c>
      <c r="BE19" s="504">
        <v>1.4602614392094533</v>
      </c>
      <c r="BF19" s="505">
        <v>0.26817878585723687</v>
      </c>
      <c r="BG19" s="506">
        <v>-3.7249999999999996</v>
      </c>
      <c r="BH19" s="504">
        <v>-2.0252498684902198E-2</v>
      </c>
      <c r="BI19" s="505">
        <v>-5.2403968455863925E-2</v>
      </c>
      <c r="BJ19" s="506">
        <v>-3.4299999999999997</v>
      </c>
      <c r="BK19" s="504">
        <v>-7.919463087248324E-2</v>
      </c>
      <c r="BL19" s="505">
        <v>2.2937975243823683E-2</v>
      </c>
      <c r="BM19" s="506">
        <v>-10.423999999999999</v>
      </c>
      <c r="BN19" s="504">
        <v>2.0390670553935859</v>
      </c>
      <c r="BO19" s="507">
        <v>5.7453354135505927</v>
      </c>
      <c r="BP19" s="503">
        <v>-4.3550000000000004</v>
      </c>
      <c r="BQ19" s="504">
        <f t="shared" si="55"/>
        <v>-0.58221412125863381</v>
      </c>
      <c r="BR19" s="505">
        <f>BP19/BD19-1</f>
        <v>0.1454497632824836</v>
      </c>
      <c r="BS19" s="506">
        <v>-6.0889999999999986</v>
      </c>
      <c r="BT19" s="504">
        <f t="shared" si="56"/>
        <v>0.39816303099885153</v>
      </c>
      <c r="BU19" s="505">
        <f t="shared" si="57"/>
        <v>0.63463087248322125</v>
      </c>
      <c r="BV19" s="506">
        <v>-6.5749999999999993</v>
      </c>
      <c r="BW19" s="504">
        <f t="shared" si="58"/>
        <v>7.9816061750697997E-2</v>
      </c>
      <c r="BX19" s="505">
        <f>BV19/BJ19-1</f>
        <v>0.9169096209912535</v>
      </c>
      <c r="BY19" s="506">
        <v>-2.5970000000000049</v>
      </c>
      <c r="BZ19" s="504">
        <f t="shared" ref="BZ19" si="62">BY19/BV19-1</f>
        <v>-0.60501901140684333</v>
      </c>
      <c r="CA19" s="507">
        <f>BY19/BM19-1</f>
        <v>-0.75086339217191056</v>
      </c>
      <c r="CB19" s="503">
        <v>-6.0024000000000051</v>
      </c>
      <c r="CC19" s="504">
        <f>CB19/BY19-1</f>
        <v>1.3112822487485536</v>
      </c>
      <c r="CD19" s="505">
        <f>CB19/BP19-1</f>
        <v>0.37827784156142474</v>
      </c>
      <c r="CE19" s="506">
        <v>-7.960999999999995</v>
      </c>
      <c r="CF19" s="504">
        <f t="shared" si="59"/>
        <v>0.32630281220844792</v>
      </c>
      <c r="CG19" s="505">
        <f>CE19/BS19-1</f>
        <v>0.30743964526194723</v>
      </c>
      <c r="CH19" s="506">
        <v>-5.9085837840000002</v>
      </c>
      <c r="CI19" s="504">
        <f t="shared" si="60"/>
        <v>-0.25780884511995927</v>
      </c>
      <c r="CJ19" s="505">
        <f>CH19/BV19-1</f>
        <v>-0.10135607847908734</v>
      </c>
      <c r="CK19" s="506">
        <f>CK20-CK18</f>
        <v>-10.515307719000006</v>
      </c>
      <c r="CL19" s="504">
        <f t="shared" si="61"/>
        <v>0.77966634703135917</v>
      </c>
      <c r="CM19" s="507">
        <f>CK19/BY19-1</f>
        <v>3.0490210700808573</v>
      </c>
    </row>
    <row r="20" spans="1:92" s="21" customFormat="1" ht="16.2" customHeight="1" x14ac:dyDescent="0.4">
      <c r="A20" s="156">
        <f t="shared" si="0"/>
        <v>18</v>
      </c>
      <c r="B20" s="61" t="s">
        <v>408</v>
      </c>
      <c r="C20" s="62" t="s">
        <v>411</v>
      </c>
      <c r="D20" s="256">
        <f>D18+D19</f>
        <v>2.172365401</v>
      </c>
      <c r="E20" s="257">
        <f t="shared" ref="E20:G20" si="63">E18+E19</f>
        <v>2.8135442610000005</v>
      </c>
      <c r="F20" s="257">
        <f t="shared" si="63"/>
        <v>2.1501264099999995</v>
      </c>
      <c r="G20" s="258">
        <f t="shared" si="63"/>
        <v>-12.266637727000001</v>
      </c>
      <c r="H20" s="259">
        <f>H18+H19</f>
        <v>1.9383199119999999</v>
      </c>
      <c r="I20" s="217">
        <f>H20/G20-1</f>
        <v>-1.1580155830096439</v>
      </c>
      <c r="J20" s="218">
        <f>H20/D20-1</f>
        <v>-0.10773762502950124</v>
      </c>
      <c r="K20" s="238">
        <f>K18+K19</f>
        <v>3.8465093720000003</v>
      </c>
      <c r="L20" s="217">
        <f>K20/H20-1</f>
        <v>0.98445537714725839</v>
      </c>
      <c r="M20" s="218">
        <f>K20/E20-1</f>
        <v>0.36714016741036071</v>
      </c>
      <c r="N20" s="238">
        <f>N18+N19</f>
        <v>2.8295140799999992</v>
      </c>
      <c r="O20" s="217">
        <f>N20/K20-1</f>
        <v>-0.2643943361747777</v>
      </c>
      <c r="P20" s="218">
        <f>N20/F20-1</f>
        <v>0.31597568721552505</v>
      </c>
      <c r="Q20" s="238">
        <f>Q18+Q19</f>
        <v>6.2491662070000018</v>
      </c>
      <c r="R20" s="217">
        <f>Q20/N20-1</f>
        <v>1.2085651565303408</v>
      </c>
      <c r="S20" s="220">
        <f>IFERROR((Q20-G20)/G20,)</f>
        <v>-1.5094440991963929</v>
      </c>
      <c r="T20" s="237">
        <f>T18+T19</f>
        <v>5.9259946790000013</v>
      </c>
      <c r="U20" s="217">
        <f>T20/Q20-1</f>
        <v>-5.1714343529221551E-2</v>
      </c>
      <c r="V20" s="218">
        <f>T20/H20-1</f>
        <v>2.0572841161629678</v>
      </c>
      <c r="W20" s="238">
        <f>W18+W19</f>
        <v>7.6268230319999981</v>
      </c>
      <c r="X20" s="217">
        <f>W20/T20-1</f>
        <v>0.28701145463853295</v>
      </c>
      <c r="Y20" s="218">
        <f>W20/K20-1</f>
        <v>0.98279070565072257</v>
      </c>
      <c r="Z20" s="238">
        <f>Z18+Z19</f>
        <v>9.5029999999999966</v>
      </c>
      <c r="AA20" s="217">
        <f>Z20/W20-1</f>
        <v>0.24599718128086745</v>
      </c>
      <c r="AB20" s="218">
        <f>Z20/N20-1</f>
        <v>2.3585271998363759</v>
      </c>
      <c r="AC20" s="238">
        <f>AC18+AC19</f>
        <v>10.337706879999997</v>
      </c>
      <c r="AD20" s="217">
        <f>AC20/Z20-1</f>
        <v>8.7836144375460501E-2</v>
      </c>
      <c r="AE20" s="220">
        <f>AC20/Q20-1</f>
        <v>0.65425378963680259</v>
      </c>
      <c r="AF20" s="237">
        <f>AF18+AF19</f>
        <v>11.404221072999997</v>
      </c>
      <c r="AG20" s="217">
        <f>AF20/AC20-1</f>
        <v>0.10316738570556172</v>
      </c>
      <c r="AH20" s="218">
        <f>AF20/T20-1</f>
        <v>0.92443997855975701</v>
      </c>
      <c r="AI20" s="238">
        <f>AI18+AI19</f>
        <v>4.72</v>
      </c>
      <c r="AJ20" s="217">
        <f>AI20/AF20-1</f>
        <v>-0.58611816012802387</v>
      </c>
      <c r="AK20" s="218">
        <f>AI20/W20-1</f>
        <v>-0.38113156943642046</v>
      </c>
      <c r="AL20" s="238">
        <f>AL18+AL19</f>
        <v>8.8266484040000019</v>
      </c>
      <c r="AM20" s="217">
        <f>AL20/AI20-1</f>
        <v>0.87005262796610228</v>
      </c>
      <c r="AN20" s="218">
        <f>AL20/Z20-1</f>
        <v>-7.1172429338103194E-2</v>
      </c>
      <c r="AO20" s="238">
        <f>AO18+AO19</f>
        <v>13.214561511999996</v>
      </c>
      <c r="AP20" s="217">
        <f>AO20/AL20-1</f>
        <v>0.49712109366580282</v>
      </c>
      <c r="AQ20" s="220">
        <f>AO20/AC20-1</f>
        <v>0.27828750276966652</v>
      </c>
      <c r="AR20" s="237">
        <f>AR18+AR19</f>
        <v>9.5569875999999994</v>
      </c>
      <c r="AS20" s="217">
        <f>AR20/AO20-1</f>
        <v>-0.27678360032442961</v>
      </c>
      <c r="AT20" s="218">
        <f>AR20/AF20-1</f>
        <v>-0.16197804840642782</v>
      </c>
      <c r="AU20" s="238">
        <f>AU18+AU19</f>
        <v>12.059000000000003</v>
      </c>
      <c r="AV20" s="217">
        <f>AU20/AR20-1</f>
        <v>0.26179927239834488</v>
      </c>
      <c r="AW20" s="218">
        <f>AU20/AI20-1</f>
        <v>1.5548728813559332</v>
      </c>
      <c r="AX20" s="238">
        <f>AX18+AX19</f>
        <v>12.524222113000002</v>
      </c>
      <c r="AY20" s="217">
        <f>AX20/AU20-1</f>
        <v>3.8578830168338962E-2</v>
      </c>
      <c r="AZ20" s="218">
        <f>AX20/AL20-1</f>
        <v>0.41891027485861554</v>
      </c>
      <c r="BA20" s="238">
        <f>BA18+BA19</f>
        <v>9.6449645159999911</v>
      </c>
      <c r="BB20" s="217">
        <f>BA20/AX20-1</f>
        <v>-0.22989512410606117</v>
      </c>
      <c r="BC20" s="220">
        <f>BA20/AO20-1</f>
        <v>-0.27012602671367447</v>
      </c>
      <c r="BD20" s="237">
        <f>BD18+BD19</f>
        <v>12.816998</v>
      </c>
      <c r="BE20" s="217">
        <f>BD20/BA20-1</f>
        <v>0.32887974639387596</v>
      </c>
      <c r="BF20" s="218">
        <f>BD20/AR20-1</f>
        <v>0.34111275816660069</v>
      </c>
      <c r="BG20" s="238">
        <f>BG18+BG19</f>
        <v>13.807799999999995</v>
      </c>
      <c r="BH20" s="217">
        <f>BG20/BD20-1</f>
        <v>7.7303749286689039E-2</v>
      </c>
      <c r="BI20" s="218">
        <f>BG20/AU20-1</f>
        <v>0.14502031677585148</v>
      </c>
      <c r="BJ20" s="238">
        <f>BJ18+BJ19</f>
        <v>18.716939999999997</v>
      </c>
      <c r="BK20" s="217">
        <f>BJ20/BG20-1</f>
        <v>0.35553382870551453</v>
      </c>
      <c r="BL20" s="218">
        <f>BJ20/AX20-1</f>
        <v>0.49445928306972653</v>
      </c>
      <c r="BM20" s="238">
        <f>BM18+BM19</f>
        <v>30.037000000000006</v>
      </c>
      <c r="BN20" s="217">
        <f>BM20/BJ20-1</f>
        <v>0.60480292184513118</v>
      </c>
      <c r="BO20" s="220">
        <f>BM20/BA20-1</f>
        <v>2.1142675486438289</v>
      </c>
      <c r="BP20" s="237">
        <f>BP18+BP19</f>
        <v>18.774999999999999</v>
      </c>
      <c r="BQ20" s="217">
        <f t="shared" si="55"/>
        <v>-0.37493757698838115</v>
      </c>
      <c r="BR20" s="218">
        <f>BP20/BD20-1</f>
        <v>0.46485159785466124</v>
      </c>
      <c r="BS20" s="238">
        <f>BS18+BS19</f>
        <v>18.560000000000009</v>
      </c>
      <c r="BT20" s="217">
        <f>BS20/BP20-1</f>
        <v>-1.1451398135818303E-2</v>
      </c>
      <c r="BU20" s="218">
        <f t="shared" si="57"/>
        <v>0.34416778922058655</v>
      </c>
      <c r="BV20" s="238">
        <f>BV18+BV19</f>
        <v>21.194000000000003</v>
      </c>
      <c r="BW20" s="217">
        <f>BV20/BS20-1</f>
        <v>0.14191810344827549</v>
      </c>
      <c r="BX20" s="218">
        <f>BV20/BJ20-1</f>
        <v>0.13234321422198314</v>
      </c>
      <c r="BY20" s="238">
        <f>BY18+BY19</f>
        <v>15.698429602000001</v>
      </c>
      <c r="BZ20" s="217">
        <f>BY20/BV20-1</f>
        <v>-0.25929840511465518</v>
      </c>
      <c r="CA20" s="220">
        <f>BY20/BM20-1</f>
        <v>-0.47736359816226659</v>
      </c>
      <c r="CB20" s="237">
        <f>CB18+CB19</f>
        <v>26.084</v>
      </c>
      <c r="CC20" s="217">
        <f>CB20/BY20-1</f>
        <v>0.66156747275389027</v>
      </c>
      <c r="CD20" s="218">
        <f>CB20/BP20-1</f>
        <v>0.38929427430093222</v>
      </c>
      <c r="CE20" s="238">
        <f>CE18+CE19</f>
        <v>26.580000000000002</v>
      </c>
      <c r="CF20" s="217">
        <f>CE20/CB20-1</f>
        <v>1.9015488422021276E-2</v>
      </c>
      <c r="CG20" s="218">
        <f>CE20/BS20-1</f>
        <v>0.43211206896551668</v>
      </c>
      <c r="CH20" s="238">
        <f>CH18+CH19</f>
        <v>16.489519919999999</v>
      </c>
      <c r="CI20" s="217">
        <f>CH20/CE20-1</f>
        <v>-0.37962679006772015</v>
      </c>
      <c r="CJ20" s="218">
        <f>CH20/BV20-1</f>
        <v>-0.22197226007360582</v>
      </c>
      <c r="CK20" s="238">
        <v>28.384471988000001</v>
      </c>
      <c r="CL20" s="217">
        <f>CK20/CH20-1</f>
        <v>0.7213643651063919</v>
      </c>
      <c r="CM20" s="220">
        <f>CK20/BY20-1</f>
        <v>0.808109008838934</v>
      </c>
    </row>
    <row r="21" spans="1:92" s="201" customFormat="1" ht="16.2" customHeight="1" x14ac:dyDescent="0.4">
      <c r="A21" s="156">
        <f t="shared" si="0"/>
        <v>19</v>
      </c>
      <c r="B21" s="199" t="s">
        <v>80</v>
      </c>
      <c r="C21" s="200" t="s">
        <v>80</v>
      </c>
      <c r="D21" s="239">
        <f>D20/D$4</f>
        <v>0.25172252618771723</v>
      </c>
      <c r="E21" s="240">
        <f>E20/E$4</f>
        <v>0.28975739042224513</v>
      </c>
      <c r="F21" s="240">
        <f>F20/F$4</f>
        <v>0.25236225469483564</v>
      </c>
      <c r="G21" s="241">
        <f>G20/G$4</f>
        <v>-1.5314154465667917</v>
      </c>
      <c r="H21" s="242">
        <f>H20/H$4</f>
        <v>0.19718412126144455</v>
      </c>
      <c r="I21" s="241"/>
      <c r="J21" s="240"/>
      <c r="K21" s="243">
        <f>K20/K$4</f>
        <v>0.33564654205933681</v>
      </c>
      <c r="L21" s="241"/>
      <c r="M21" s="240"/>
      <c r="N21" s="243">
        <f>N20/N$4</f>
        <v>0.24371352971576221</v>
      </c>
      <c r="O21" s="241"/>
      <c r="P21" s="240"/>
      <c r="Q21" s="243">
        <f>Q20/Q$4</f>
        <v>0.42855343622274045</v>
      </c>
      <c r="R21" s="241"/>
      <c r="S21" s="244"/>
      <c r="T21" s="242">
        <f>T20/T$4</f>
        <v>0.36596027166059414</v>
      </c>
      <c r="U21" s="241"/>
      <c r="V21" s="240"/>
      <c r="W21" s="243">
        <f>W20/W$4</f>
        <v>0.35373234228468059</v>
      </c>
      <c r="X21" s="241"/>
      <c r="Y21" s="240"/>
      <c r="Z21" s="243">
        <f>Z20/Z$4</f>
        <v>0.45126731310885115</v>
      </c>
      <c r="AA21" s="241"/>
      <c r="AB21" s="240"/>
      <c r="AC21" s="243">
        <f>AC20/AC$4</f>
        <v>0.46314795063712427</v>
      </c>
      <c r="AD21" s="241"/>
      <c r="AE21" s="244"/>
      <c r="AF21" s="242">
        <f>AF20/AF$4</f>
        <v>0.53218633967987294</v>
      </c>
      <c r="AG21" s="241"/>
      <c r="AH21" s="240"/>
      <c r="AI21" s="243">
        <f>AI20/AI$4</f>
        <v>0.32350638982597119</v>
      </c>
      <c r="AJ21" s="241"/>
      <c r="AK21" s="240"/>
      <c r="AL21" s="243">
        <f>AL20/AL$4</f>
        <v>0.45116787998364355</v>
      </c>
      <c r="AM21" s="241"/>
      <c r="AN21" s="240"/>
      <c r="AO21" s="243">
        <f>AO20/AO$4</f>
        <v>0.63294583966369378</v>
      </c>
      <c r="AP21" s="241"/>
      <c r="AQ21" s="244"/>
      <c r="AR21" s="242">
        <f>AR20/AR$4</f>
        <v>0.4482639587242026</v>
      </c>
      <c r="AS21" s="241"/>
      <c r="AT21" s="240"/>
      <c r="AU21" s="243">
        <f>AU20/AU$4</f>
        <v>0.40891827738216352</v>
      </c>
      <c r="AV21" s="241"/>
      <c r="AW21" s="240"/>
      <c r="AX21" s="243">
        <f>AX20/AX$4</f>
        <v>0.51190313549415523</v>
      </c>
      <c r="AY21" s="241"/>
      <c r="AZ21" s="240"/>
      <c r="BA21" s="243">
        <f>BA20/BA$4</f>
        <v>0.38092276919431256</v>
      </c>
      <c r="BB21" s="241"/>
      <c r="BC21" s="244"/>
      <c r="BD21" s="242">
        <f>BD20/BD$4</f>
        <v>0.36225652186201635</v>
      </c>
      <c r="BE21" s="241"/>
      <c r="BF21" s="240"/>
      <c r="BG21" s="243">
        <f>BG20/BG$4</f>
        <v>0.42246359074776635</v>
      </c>
      <c r="BH21" s="241"/>
      <c r="BI21" s="240"/>
      <c r="BJ21" s="243">
        <f>BJ20/BJ$4</f>
        <v>0.56261091739810021</v>
      </c>
      <c r="BK21" s="241"/>
      <c r="BL21" s="240"/>
      <c r="BM21" s="243">
        <f>BM20/BM$4</f>
        <v>0.74225912471890698</v>
      </c>
      <c r="BN21" s="241"/>
      <c r="BO21" s="244"/>
      <c r="BP21" s="242">
        <f>BP20/BP$4</f>
        <v>0.48173141068404579</v>
      </c>
      <c r="BQ21" s="241"/>
      <c r="BR21" s="240"/>
      <c r="BS21" s="243">
        <f>BS20/BS$4</f>
        <v>0.40437491829709371</v>
      </c>
      <c r="BT21" s="241"/>
      <c r="BU21" s="240"/>
      <c r="BV21" s="243">
        <f>BV20/BV$4</f>
        <v>0.43929030385938733</v>
      </c>
      <c r="BW21" s="241"/>
      <c r="BX21" s="240"/>
      <c r="BY21" s="243">
        <f>BY20/BY$4</f>
        <v>0.33397361136049358</v>
      </c>
      <c r="BZ21" s="241"/>
      <c r="CA21" s="244"/>
      <c r="CB21" s="242">
        <f>CB20/CB$4</f>
        <v>0.51775541396216684</v>
      </c>
      <c r="CC21" s="241"/>
      <c r="CD21" s="240"/>
      <c r="CE21" s="243">
        <f>CE20/CE$4</f>
        <v>0.45249485027493574</v>
      </c>
      <c r="CF21" s="241"/>
      <c r="CG21" s="240"/>
      <c r="CH21" s="243">
        <f>CH20/CH$4</f>
        <v>0.2775359329450971</v>
      </c>
      <c r="CI21" s="241"/>
      <c r="CJ21" s="240"/>
      <c r="CK21" s="243">
        <f>ABS(CK20/CK$4)</f>
        <v>0.38149207007889735</v>
      </c>
      <c r="CL21" s="241"/>
      <c r="CM21" s="244"/>
    </row>
    <row r="22" spans="1:92" s="74" customFormat="1" ht="16.2" customHeight="1" x14ac:dyDescent="0.4">
      <c r="A22" s="156">
        <f t="shared" si="0"/>
        <v>20</v>
      </c>
      <c r="B22" s="72" t="s">
        <v>51</v>
      </c>
      <c r="C22" s="73" t="s">
        <v>5</v>
      </c>
      <c r="D22" s="260">
        <v>3.2000000000000001E-2</v>
      </c>
      <c r="E22" s="261">
        <v>3.3000000000000002E-2</v>
      </c>
      <c r="F22" s="261">
        <v>5.6000000000000001E-2</v>
      </c>
      <c r="G22" s="262">
        <v>0.10299999999999999</v>
      </c>
      <c r="H22" s="263">
        <v>0.17799999999999999</v>
      </c>
      <c r="I22" s="264">
        <f>H22/G22-1</f>
        <v>0.72815533980582536</v>
      </c>
      <c r="J22" s="265">
        <f>H22/D22-1</f>
        <v>4.5625</v>
      </c>
      <c r="K22" s="266">
        <v>0.104</v>
      </c>
      <c r="L22" s="264">
        <f>K22/H22-1</f>
        <v>-0.4157303370786517</v>
      </c>
      <c r="M22" s="265">
        <f>K22/E22-1</f>
        <v>2.1515151515151514</v>
      </c>
      <c r="N22" s="266">
        <v>0.191</v>
      </c>
      <c r="O22" s="264">
        <f>N22/K22-1</f>
        <v>0.83653846153846168</v>
      </c>
      <c r="P22" s="265">
        <f>N22/F22-1</f>
        <v>2.4107142857142856</v>
      </c>
      <c r="Q22" s="266">
        <v>0.28599999999999998</v>
      </c>
      <c r="R22" s="254">
        <f>Q22/N22-1</f>
        <v>0.4973821989528795</v>
      </c>
      <c r="S22" s="255">
        <f>IFERROR((Q22-G22)/G22,)</f>
        <v>1.7766990291262137</v>
      </c>
      <c r="T22" s="263">
        <v>0.248</v>
      </c>
      <c r="U22" s="264">
        <f>T22/Q22-1</f>
        <v>-0.13286713286713281</v>
      </c>
      <c r="V22" s="265">
        <f>IFERROR(T22/H22-1,)</f>
        <v>0.39325842696629221</v>
      </c>
      <c r="W22" s="266">
        <v>0.27300000000000002</v>
      </c>
      <c r="X22" s="264">
        <f>W22/T22-1</f>
        <v>0.10080645161290325</v>
      </c>
      <c r="Y22" s="265">
        <f>IFERROR(W22/K22-1,)</f>
        <v>1.6250000000000004</v>
      </c>
      <c r="Z22" s="266">
        <v>0.311</v>
      </c>
      <c r="AA22" s="264">
        <f>Z22/W22-1</f>
        <v>0.13919413919413914</v>
      </c>
      <c r="AB22" s="265">
        <f>IFERROR(Z22/N22-1,)</f>
        <v>0.62827225130890052</v>
      </c>
      <c r="AC22" s="266">
        <v>0.38500000000000001</v>
      </c>
      <c r="AD22" s="264">
        <f>AC22/Z22-1</f>
        <v>0.23794212218649524</v>
      </c>
      <c r="AE22" s="267">
        <f>IFERROR(AC22/Q22-1,)</f>
        <v>0.34615384615384626</v>
      </c>
      <c r="AF22" s="263">
        <v>0.442</v>
      </c>
      <c r="AG22" s="264">
        <f>AF22/AC22-1</f>
        <v>0.14805194805194799</v>
      </c>
      <c r="AH22" s="265">
        <f>IFERROR(AF22/T22-1,)</f>
        <v>0.782258064516129</v>
      </c>
      <c r="AI22" s="266">
        <v>0.51</v>
      </c>
      <c r="AJ22" s="264">
        <f>AI22/AF22-1</f>
        <v>0.15384615384615397</v>
      </c>
      <c r="AK22" s="265">
        <f>IFERROR(AI22/W22-1,)</f>
        <v>0.86813186813186793</v>
      </c>
      <c r="AL22" s="266">
        <v>0.41500000000000004</v>
      </c>
      <c r="AM22" s="264">
        <f>AL22/AI22-1</f>
        <v>-0.18627450980392146</v>
      </c>
      <c r="AN22" s="265">
        <f>IFERROR(AL22/Z22-1,)</f>
        <v>0.33440514469453397</v>
      </c>
      <c r="AO22" s="266">
        <v>0.71600000000000019</v>
      </c>
      <c r="AP22" s="264">
        <f>AO22/AL22-1</f>
        <v>0.72530120481927751</v>
      </c>
      <c r="AQ22" s="267">
        <f>IFERROR(AO22/AC22-1,)</f>
        <v>0.85974025974026014</v>
      </c>
      <c r="AR22" s="263">
        <v>0.58561300000000005</v>
      </c>
      <c r="AS22" s="264">
        <f>AR22/AO22-1</f>
        <v>-0.18210474860335213</v>
      </c>
      <c r="AT22" s="265">
        <f>IFERROR(AR22/AF22-1,)</f>
        <v>0.3249162895927602</v>
      </c>
      <c r="AU22" s="266">
        <v>0.56480300000000006</v>
      </c>
      <c r="AV22" s="264">
        <f>AU22/AR22-1</f>
        <v>-3.553541331903487E-2</v>
      </c>
      <c r="AW22" s="265">
        <f>IFERROR(AU22/AI22-1,)</f>
        <v>0.10745686274509803</v>
      </c>
      <c r="AX22" s="266">
        <v>0.63255399999999973</v>
      </c>
      <c r="AY22" s="264">
        <f>AX22/AU22-1</f>
        <v>0.1199550993886358</v>
      </c>
      <c r="AZ22" s="265">
        <f>IFERROR(AX22/AL22-1,)</f>
        <v>0.5242265060240956</v>
      </c>
      <c r="BA22" s="266">
        <v>0.74003000000000019</v>
      </c>
      <c r="BB22" s="264">
        <f>BA22/AX22-1</f>
        <v>0.16990802366280278</v>
      </c>
      <c r="BC22" s="267">
        <f>IFERROR(BA22/AO22-1,)</f>
        <v>3.3561452513966472E-2</v>
      </c>
      <c r="BD22" s="263">
        <v>0.94599999999999995</v>
      </c>
      <c r="BE22" s="264">
        <f>BD22/BA22-1</f>
        <v>0.27832655432887821</v>
      </c>
      <c r="BF22" s="265">
        <f>IFERROR(BD22/AR22-1,)</f>
        <v>0.61540129744387473</v>
      </c>
      <c r="BG22" s="266">
        <v>0.97399999999999998</v>
      </c>
      <c r="BH22" s="264">
        <f>BG22/BD22-1</f>
        <v>2.9598308668076223E-2</v>
      </c>
      <c r="BI22" s="265">
        <f>IFERROR(BG22/AU22-1,)</f>
        <v>0.72449508943826402</v>
      </c>
      <c r="BJ22" s="266">
        <v>1.0029999999999999</v>
      </c>
      <c r="BK22" s="264">
        <f>BJ22/BG22-1</f>
        <v>2.9774127310061571E-2</v>
      </c>
      <c r="BL22" s="265">
        <f>IFERROR(BJ22/AX22-1,)</f>
        <v>0.5856353765844502</v>
      </c>
      <c r="BM22" s="266">
        <v>0.97599999999999998</v>
      </c>
      <c r="BN22" s="264">
        <f>BM22/BJ22-1</f>
        <v>-2.6919242273180322E-2</v>
      </c>
      <c r="BO22" s="267">
        <f>IFERROR(BM22/BA22-1,)</f>
        <v>0.31886545140061862</v>
      </c>
      <c r="BP22" s="263">
        <v>0.984205</v>
      </c>
      <c r="BQ22" s="264">
        <f>BP22/BM22-1</f>
        <v>8.4067622950820819E-3</v>
      </c>
      <c r="BR22" s="265">
        <f>IFERROR(BP22/BD22-1,)</f>
        <v>4.0385835095137379E-2</v>
      </c>
      <c r="BS22" s="266">
        <v>1.0329999999999999</v>
      </c>
      <c r="BT22" s="264">
        <f t="shared" ref="BT22" si="64">BS22/BP22-1</f>
        <v>4.957808586625756E-2</v>
      </c>
      <c r="BU22" s="265">
        <f>BS22/BG22-1</f>
        <v>6.0574948665297779E-2</v>
      </c>
      <c r="BV22" s="266">
        <v>1.103</v>
      </c>
      <c r="BW22" s="264">
        <f t="shared" ref="BW22" si="65">BV22/BS22-1</f>
        <v>6.776379477250738E-2</v>
      </c>
      <c r="BX22" s="265">
        <f>IFERROR(BV22/BJ22-1,)</f>
        <v>9.9700897308075964E-2</v>
      </c>
      <c r="BY22" s="266">
        <v>1.1579999999999999</v>
      </c>
      <c r="BZ22" s="264">
        <f>BY22/BV22-1</f>
        <v>4.9864007252946374E-2</v>
      </c>
      <c r="CA22" s="267">
        <f>IFERROR(BY22/BM22-1,)</f>
        <v>0.18647540983606548</v>
      </c>
      <c r="CB22" s="263">
        <v>1.159778</v>
      </c>
      <c r="CC22" s="264">
        <f>CB22/BY22-1</f>
        <v>1.5354058721934738E-3</v>
      </c>
      <c r="CD22" s="265">
        <f>IFERROR(CB22/BP22-1,)</f>
        <v>0.17839068080328802</v>
      </c>
      <c r="CE22" s="266">
        <v>1.1765669999999999</v>
      </c>
      <c r="CF22" s="264">
        <f t="shared" ref="CF22" si="66">CE22/CB22-1</f>
        <v>1.4476046277822174E-2</v>
      </c>
      <c r="CG22" s="265">
        <f>CE22/BS22-1</f>
        <v>0.13898063891577928</v>
      </c>
      <c r="CH22" s="266">
        <v>1.204</v>
      </c>
      <c r="CI22" s="264">
        <f t="shared" ref="CI22" si="67">CH22/CE22-1</f>
        <v>2.3316139242389067E-2</v>
      </c>
      <c r="CJ22" s="265">
        <f>CH22/BV22-1</f>
        <v>9.1568449682683628E-2</v>
      </c>
      <c r="CK22" s="266">
        <v>3.6771353819999999</v>
      </c>
      <c r="CL22" s="264">
        <f t="shared" ref="CL22" si="68">CK22/CH22-1</f>
        <v>2.05409915448505</v>
      </c>
      <c r="CM22" s="267">
        <f>CK22/BY22-1</f>
        <v>2.1754191554404145</v>
      </c>
      <c r="CN22" s="201"/>
    </row>
    <row r="23" spans="1:92" s="50" customFormat="1" ht="16.2" customHeight="1" x14ac:dyDescent="0.4">
      <c r="A23" s="156">
        <f t="shared" si="0"/>
        <v>21</v>
      </c>
      <c r="B23" s="47" t="s">
        <v>6</v>
      </c>
      <c r="C23" s="48" t="s">
        <v>6</v>
      </c>
      <c r="D23" s="213">
        <v>3.0720000000000001</v>
      </c>
      <c r="E23" s="214">
        <v>3.1930000000000001</v>
      </c>
      <c r="F23" s="214">
        <v>2.806</v>
      </c>
      <c r="G23" s="215">
        <v>1.9530000000000001</v>
      </c>
      <c r="H23" s="216">
        <v>2.758</v>
      </c>
      <c r="I23" s="217">
        <f>H23/G23-1</f>
        <v>0.41218637992831542</v>
      </c>
      <c r="J23" s="218">
        <f>H23/D23-1</f>
        <v>-0.10221354166666663</v>
      </c>
      <c r="K23" s="219">
        <v>4.3440000000000003</v>
      </c>
      <c r="L23" s="217">
        <f>K23/H23-1</f>
        <v>0.57505438723712854</v>
      </c>
      <c r="M23" s="218">
        <f>K23/E23-1</f>
        <v>0.36047604134043221</v>
      </c>
      <c r="N23" s="219">
        <v>4.3209999999999997</v>
      </c>
      <c r="O23" s="217">
        <f>N23/K23-1</f>
        <v>-5.2946593001842457E-3</v>
      </c>
      <c r="P23" s="218">
        <f>N23/F23-1</f>
        <v>0.53991446899501061</v>
      </c>
      <c r="Q23" s="219">
        <v>6.8119999999999985</v>
      </c>
      <c r="R23" s="217">
        <f>Q23/N23-1</f>
        <v>0.57648692432307302</v>
      </c>
      <c r="S23" s="220">
        <f>IFERROR((Q23-G23)/G23,)</f>
        <v>2.4879672299027127</v>
      </c>
      <c r="T23" s="216">
        <v>7.6930000000000023</v>
      </c>
      <c r="U23" s="217">
        <f>T23/Q23-1</f>
        <v>0.12933059307105177</v>
      </c>
      <c r="V23" s="218">
        <f>T23/H23-1</f>
        <v>1.7893401015228436</v>
      </c>
      <c r="W23" s="219">
        <v>9.8409999999999975</v>
      </c>
      <c r="X23" s="217">
        <f>W23/T23-1</f>
        <v>0.27921487066163975</v>
      </c>
      <c r="Y23" s="218">
        <f>W23/K23-1</f>
        <v>1.2654235727440142</v>
      </c>
      <c r="Z23" s="219">
        <v>12.082728178</v>
      </c>
      <c r="AA23" s="217">
        <f>Z23/W23-1</f>
        <v>0.22779475439487884</v>
      </c>
      <c r="AB23" s="218">
        <f>Z23/N23-1</f>
        <v>1.796280531821338</v>
      </c>
      <c r="AC23" s="219">
        <v>13.309271822000005</v>
      </c>
      <c r="AD23" s="217">
        <f>AC23/Z23-1</f>
        <v>0.10151214410610288</v>
      </c>
      <c r="AE23" s="220">
        <f>AC23/Q23-1</f>
        <v>0.95379797739283734</v>
      </c>
      <c r="AF23" s="216">
        <v>13.875999999999998</v>
      </c>
      <c r="AG23" s="217">
        <f>AF23/AC23-1</f>
        <v>4.2581456414707786E-2</v>
      </c>
      <c r="AH23" s="218">
        <f>AF23/T23-1</f>
        <v>0.80371766541011236</v>
      </c>
      <c r="AI23" s="219">
        <v>6.8772617620000007</v>
      </c>
      <c r="AJ23" s="217">
        <f>AI23/AF23-1</f>
        <v>-0.50437721519169776</v>
      </c>
      <c r="AK23" s="218">
        <f>AI23/W23-1</f>
        <v>-0.30116230444060543</v>
      </c>
      <c r="AL23" s="219">
        <v>12.280000000000001</v>
      </c>
      <c r="AM23" s="217">
        <f>AL23/AI23-1</f>
        <v>0.78559438697718131</v>
      </c>
      <c r="AN23" s="218">
        <f>AL23/Z23-1</f>
        <v>1.6326761563600245E-2</v>
      </c>
      <c r="AO23" s="219">
        <v>9.6597382379999992</v>
      </c>
      <c r="AP23" s="217">
        <f>AO23/AL23-1</f>
        <v>-0.21337636498371348</v>
      </c>
      <c r="AQ23" s="220">
        <f>AO23/AC23-1</f>
        <v>-0.27420986157690364</v>
      </c>
      <c r="AR23" s="216">
        <v>11.480613</v>
      </c>
      <c r="AS23" s="217">
        <f>AR23/AO23-1</f>
        <v>0.18850146009515512</v>
      </c>
      <c r="AT23" s="218">
        <f>AR23/AF23-1</f>
        <v>-0.17262806284231758</v>
      </c>
      <c r="AU23" s="219">
        <v>16.654803000000005</v>
      </c>
      <c r="AV23" s="217">
        <f>AU23/AR23-1</f>
        <v>0.45068934907918279</v>
      </c>
      <c r="AW23" s="218">
        <f>AU23/AI23-1</f>
        <v>1.4217200938933816</v>
      </c>
      <c r="AX23" s="219">
        <v>13.961554000000001</v>
      </c>
      <c r="AY23" s="217">
        <f>AX23/AU23-1</f>
        <v>-0.16171004844668546</v>
      </c>
      <c r="AZ23" s="218">
        <f>AX23/AL23-1</f>
        <v>0.13693436482084698</v>
      </c>
      <c r="BA23" s="219">
        <v>12.139029999999995</v>
      </c>
      <c r="BB23" s="217">
        <f>BA23/AX23-1</f>
        <v>-0.13053876380809804</v>
      </c>
      <c r="BC23" s="220">
        <f>BA23/AO23-1</f>
        <v>0.2566624168185867</v>
      </c>
      <c r="BD23" s="216">
        <v>17.651</v>
      </c>
      <c r="BE23" s="217">
        <f>BD23/BA23-1</f>
        <v>0.45407005337329331</v>
      </c>
      <c r="BF23" s="218">
        <f>BD23/AR23-1</f>
        <v>0.53746145785072619</v>
      </c>
      <c r="BG23" s="219">
        <v>16.236999999999995</v>
      </c>
      <c r="BH23" s="217">
        <f>BG23/BD23-1</f>
        <v>-8.0108775706759117E-2</v>
      </c>
      <c r="BI23" s="218">
        <f>BG23/AU23-1</f>
        <v>-2.5086036742674733E-2</v>
      </c>
      <c r="BJ23" s="219">
        <v>18.483000000000001</v>
      </c>
      <c r="BK23" s="217">
        <f>BJ23/BG23-1</f>
        <v>0.13832604545174632</v>
      </c>
      <c r="BL23" s="218">
        <f>BJ23/AX23-1</f>
        <v>0.32384976629392392</v>
      </c>
      <c r="BM23" s="219">
        <v>20.404999999999998</v>
      </c>
      <c r="BN23" s="217">
        <f>BM23/BJ23-1</f>
        <v>0.10398744792512016</v>
      </c>
      <c r="BO23" s="220">
        <f>BM23/BA23-1</f>
        <v>0.68094155793337752</v>
      </c>
      <c r="BP23" s="216">
        <f>BP11+BP22</f>
        <v>20.875204999999998</v>
      </c>
      <c r="BQ23" s="217">
        <f>BP23/BM23-1</f>
        <v>2.3043616760597851E-2</v>
      </c>
      <c r="BR23" s="218">
        <f>BP23/BD23-1</f>
        <v>0.18266415500538202</v>
      </c>
      <c r="BS23" s="219">
        <f>BS11+BS22</f>
        <v>24.180000000000007</v>
      </c>
      <c r="BT23" s="217">
        <f>BS23/BP23-1</f>
        <v>0.15831197825362708</v>
      </c>
      <c r="BU23" s="218">
        <f>BS23/BG23-1</f>
        <v>0.48919135308246697</v>
      </c>
      <c r="BV23" s="219">
        <f>BV11+BV22</f>
        <v>25.767000000000003</v>
      </c>
      <c r="BW23" s="217">
        <f>BV23/BS23-1</f>
        <v>6.5632754342431543E-2</v>
      </c>
      <c r="BX23" s="218">
        <f>BV23/BJ23-1</f>
        <v>0.39409186820321396</v>
      </c>
      <c r="BY23" s="219">
        <f>BY11+BY22</f>
        <v>23.079000000000008</v>
      </c>
      <c r="BZ23" s="217">
        <f>BY23/BV23-1</f>
        <v>-0.1043194784026078</v>
      </c>
      <c r="CA23" s="220">
        <f>BY23/BM23-1</f>
        <v>0.13104631217838825</v>
      </c>
      <c r="CB23" s="216">
        <f>CB11+CB22</f>
        <v>27.667777999999995</v>
      </c>
      <c r="CC23" s="217">
        <f>CB23/BY23-1</f>
        <v>0.19882915204298213</v>
      </c>
      <c r="CD23" s="218">
        <f>CB23/BP23-1</f>
        <v>0.32538952312085079</v>
      </c>
      <c r="CE23" s="219">
        <f>CE11+CE22</f>
        <v>32.363566999999996</v>
      </c>
      <c r="CF23" s="217">
        <f>CE23/CB23-1</f>
        <v>0.16972049580562643</v>
      </c>
      <c r="CG23" s="218">
        <f>CE23/BS23-1</f>
        <v>0.33844363110008224</v>
      </c>
      <c r="CH23" s="219">
        <f>CH11+CH22</f>
        <v>30.156000000000002</v>
      </c>
      <c r="CI23" s="217">
        <f>CH23/CE23-1</f>
        <v>-6.821148608248262E-2</v>
      </c>
      <c r="CJ23" s="218">
        <f>CH23/BV23-1</f>
        <v>0.17033414832925842</v>
      </c>
      <c r="CK23" s="219">
        <f>CK22+CK11</f>
        <v>39.471450348000005</v>
      </c>
      <c r="CL23" s="217">
        <f>CK23/CH23-1</f>
        <v>0.30890868643056124</v>
      </c>
      <c r="CM23" s="220">
        <f>CK23/BY23-1</f>
        <v>0.7102755902768747</v>
      </c>
    </row>
    <row r="24" spans="1:92" s="202" customFormat="1" ht="16.2" customHeight="1" thickBot="1" x14ac:dyDescent="0.45">
      <c r="A24" s="156">
        <f t="shared" si="0"/>
        <v>22</v>
      </c>
      <c r="B24" s="203" t="s">
        <v>80</v>
      </c>
      <c r="C24" s="203" t="s">
        <v>125</v>
      </c>
      <c r="D24" s="268">
        <f>D23/D$4</f>
        <v>0.35596755504055616</v>
      </c>
      <c r="E24" s="269">
        <f>E23/E$4</f>
        <v>0.32883625128733263</v>
      </c>
      <c r="F24" s="269">
        <f>F23/F$4</f>
        <v>0.32934272300469486</v>
      </c>
      <c r="G24" s="270">
        <f>G23/G$4</f>
        <v>0.24382022471910114</v>
      </c>
      <c r="H24" s="271">
        <f>H23/H$4</f>
        <v>0.28056968463886062</v>
      </c>
      <c r="I24" s="272"/>
      <c r="J24" s="273"/>
      <c r="K24" s="274">
        <f>K23/K$4</f>
        <v>0.37905759162303665</v>
      </c>
      <c r="L24" s="272"/>
      <c r="M24" s="273"/>
      <c r="N24" s="274">
        <f>N23/N$4</f>
        <v>0.3721791559000861</v>
      </c>
      <c r="O24" s="272"/>
      <c r="P24" s="273"/>
      <c r="Q24" s="274">
        <f>Q23/Q$4</f>
        <v>0.46715128240296244</v>
      </c>
      <c r="R24" s="272"/>
      <c r="S24" s="275"/>
      <c r="T24" s="271">
        <f>T23/T$4</f>
        <v>0.47508182548014583</v>
      </c>
      <c r="U24" s="272"/>
      <c r="V24" s="273"/>
      <c r="W24" s="274">
        <f>W23/W$4</f>
        <v>0.4564259542692824</v>
      </c>
      <c r="X24" s="272"/>
      <c r="Y24" s="273"/>
      <c r="Z24" s="274">
        <f>Z23/Z$4</f>
        <v>0.5737704177534112</v>
      </c>
      <c r="AA24" s="272"/>
      <c r="AB24" s="273"/>
      <c r="AC24" s="274">
        <f>AC23/AC$4</f>
        <v>0.5962794302822918</v>
      </c>
      <c r="AD24" s="272"/>
      <c r="AE24" s="275"/>
      <c r="AF24" s="271">
        <f>AF23/AF$4</f>
        <v>0.64753371599234677</v>
      </c>
      <c r="AG24" s="272"/>
      <c r="AH24" s="273"/>
      <c r="AI24" s="274">
        <f>AI23/AI$4</f>
        <v>0.47136400943068174</v>
      </c>
      <c r="AJ24" s="272"/>
      <c r="AK24" s="273"/>
      <c r="AL24" s="274">
        <f>AL23/AL$4</f>
        <v>0.62768350030668585</v>
      </c>
      <c r="AM24" s="272"/>
      <c r="AN24" s="273"/>
      <c r="AO24" s="274">
        <f>AO23/AO$4</f>
        <v>0.46267832076230919</v>
      </c>
      <c r="AP24" s="272"/>
      <c r="AQ24" s="275"/>
      <c r="AR24" s="271">
        <f>AR23/AR$4</f>
        <v>0.53849029080675426</v>
      </c>
      <c r="AS24" s="272"/>
      <c r="AT24" s="273"/>
      <c r="AU24" s="274">
        <f>AU23/AU$4</f>
        <v>0.56476103763987806</v>
      </c>
      <c r="AV24" s="272"/>
      <c r="AW24" s="273"/>
      <c r="AX24" s="274">
        <f>AX23/AX$4</f>
        <v>0.57065127115180259</v>
      </c>
      <c r="AY24" s="272"/>
      <c r="AZ24" s="273"/>
      <c r="BA24" s="274">
        <f>BA23/BA$4</f>
        <v>0.47942456556082141</v>
      </c>
      <c r="BB24" s="272"/>
      <c r="BC24" s="275"/>
      <c r="BD24" s="271">
        <f>BD23/BD$4</f>
        <v>0.49888358158333568</v>
      </c>
      <c r="BE24" s="272"/>
      <c r="BF24" s="273"/>
      <c r="BG24" s="274">
        <f>BG23/BG$4</f>
        <v>0.49678741892057265</v>
      </c>
      <c r="BH24" s="272"/>
      <c r="BI24" s="273"/>
      <c r="BJ24" s="274">
        <f>BJ23/BJ$4</f>
        <v>0.55557893471203557</v>
      </c>
      <c r="BK24" s="272"/>
      <c r="BL24" s="273"/>
      <c r="BM24" s="274">
        <f>BM23/BM$4</f>
        <v>0.50423802110361526</v>
      </c>
      <c r="BN24" s="272"/>
      <c r="BO24" s="275"/>
      <c r="BP24" s="271">
        <f>BP23/BP$4</f>
        <v>0.53561874583055369</v>
      </c>
      <c r="BQ24" s="272"/>
      <c r="BR24" s="273"/>
      <c r="BS24" s="274">
        <f>BS23/BS$4</f>
        <v>0.52682034075558859</v>
      </c>
      <c r="BT24" s="272"/>
      <c r="BU24" s="273"/>
      <c r="BV24" s="274">
        <f>BV23/BV$4</f>
        <v>0.53407536376072628</v>
      </c>
      <c r="BW24" s="272"/>
      <c r="BX24" s="273"/>
      <c r="BY24" s="274">
        <f>BY23/BY$4</f>
        <v>0.49099032017870453</v>
      </c>
      <c r="BZ24" s="272"/>
      <c r="CA24" s="275"/>
      <c r="CB24" s="271">
        <f>CB23/CB$4</f>
        <v>0.5491926794894697</v>
      </c>
      <c r="CC24" s="272"/>
      <c r="CD24" s="273"/>
      <c r="CE24" s="274">
        <f>CE23/CE$4</f>
        <v>0.55095362693859473</v>
      </c>
      <c r="CF24" s="272"/>
      <c r="CG24" s="273"/>
      <c r="CH24" s="274">
        <f>CH23/CH$4</f>
        <v>0.50755714141448149</v>
      </c>
      <c r="CI24" s="272"/>
      <c r="CJ24" s="273"/>
      <c r="CK24" s="274">
        <f>ABS(CK23/CK$4)</f>
        <v>0.53050292105630747</v>
      </c>
      <c r="CL24" s="272"/>
      <c r="CM24" s="275"/>
    </row>
    <row r="25" spans="1:92" s="74" customFormat="1" ht="16.2" customHeight="1" x14ac:dyDescent="0.4">
      <c r="A25" s="158"/>
      <c r="B25" s="75"/>
      <c r="C25" s="75"/>
      <c r="D25" s="262"/>
      <c r="E25" s="262"/>
      <c r="F25" s="262"/>
      <c r="G25" s="262"/>
      <c r="H25" s="262"/>
      <c r="I25" s="276"/>
      <c r="J25" s="276"/>
      <c r="K25" s="262"/>
      <c r="L25" s="276"/>
      <c r="M25" s="276"/>
      <c r="N25" s="262"/>
      <c r="O25" s="276"/>
      <c r="P25" s="276"/>
      <c r="Q25" s="262"/>
      <c r="R25" s="276"/>
      <c r="S25" s="276"/>
      <c r="T25" s="262"/>
      <c r="U25" s="276"/>
      <c r="V25" s="276"/>
      <c r="W25" s="262"/>
      <c r="X25" s="276"/>
      <c r="Y25" s="276"/>
      <c r="Z25" s="262"/>
      <c r="AA25" s="276"/>
      <c r="AB25" s="276"/>
      <c r="AC25" s="262"/>
      <c r="AD25" s="276"/>
      <c r="AE25" s="276"/>
      <c r="AF25" s="262"/>
      <c r="AG25" s="276"/>
      <c r="AH25" s="276"/>
      <c r="AI25" s="262"/>
      <c r="AJ25" s="276"/>
      <c r="AK25" s="276"/>
      <c r="AL25" s="262"/>
      <c r="AM25" s="276"/>
      <c r="AN25" s="276"/>
      <c r="AO25" s="262"/>
      <c r="AP25" s="276"/>
      <c r="AQ25" s="276"/>
      <c r="AR25" s="262"/>
      <c r="AS25" s="276"/>
      <c r="AT25" s="276"/>
      <c r="AU25" s="262"/>
      <c r="AV25" s="276"/>
      <c r="AW25" s="276"/>
      <c r="AX25" s="262"/>
      <c r="AY25" s="276"/>
      <c r="AZ25" s="276"/>
      <c r="BA25" s="262"/>
      <c r="BB25" s="276"/>
      <c r="BC25" s="276"/>
      <c r="BD25" s="262"/>
      <c r="BE25" s="276"/>
      <c r="BF25" s="276"/>
      <c r="BG25" s="262"/>
      <c r="BH25" s="276"/>
      <c r="BI25" s="276"/>
      <c r="BJ25" s="262"/>
      <c r="BK25" s="276"/>
      <c r="BL25" s="276"/>
      <c r="BM25" s="633"/>
      <c r="BN25" s="276"/>
      <c r="BO25" s="276"/>
      <c r="BP25" s="633"/>
      <c r="BQ25" s="276"/>
      <c r="BR25" s="276"/>
      <c r="BS25" s="633"/>
      <c r="BT25" s="633"/>
      <c r="BU25" s="276"/>
      <c r="BV25" s="633"/>
      <c r="BW25" s="276"/>
      <c r="BX25" s="276"/>
      <c r="BY25" s="633"/>
      <c r="BZ25" s="276"/>
      <c r="CA25" s="276"/>
      <c r="CB25" s="633"/>
      <c r="CC25" s="276"/>
      <c r="CD25" s="276"/>
      <c r="CE25" s="633"/>
      <c r="CF25" s="633"/>
      <c r="CG25" s="276"/>
      <c r="CH25" s="633"/>
      <c r="CI25" s="276"/>
      <c r="CJ25" s="276"/>
      <c r="CK25" s="633"/>
      <c r="CL25" s="276"/>
      <c r="CM25" s="276"/>
    </row>
    <row r="26" spans="1:92" s="45" customFormat="1" ht="13.8" thickBot="1" x14ac:dyDescent="0.45">
      <c r="A26" s="157"/>
      <c r="B26" s="43" t="s">
        <v>128</v>
      </c>
      <c r="C26" s="44"/>
      <c r="D26" s="207" t="s">
        <v>323</v>
      </c>
      <c r="E26" s="207"/>
      <c r="F26" s="207"/>
      <c r="G26" s="207"/>
      <c r="H26" s="207" t="s">
        <v>254</v>
      </c>
      <c r="I26" s="207"/>
      <c r="J26" s="207"/>
      <c r="K26" s="207" t="s">
        <v>254</v>
      </c>
      <c r="L26" s="207"/>
      <c r="M26" s="207"/>
      <c r="N26" s="207" t="s">
        <v>254</v>
      </c>
      <c r="O26" s="207"/>
      <c r="P26" s="207"/>
      <c r="Q26" s="207" t="s">
        <v>254</v>
      </c>
      <c r="R26" s="207"/>
      <c r="S26" s="207"/>
      <c r="T26" s="207" t="s">
        <v>324</v>
      </c>
      <c r="U26" s="207"/>
      <c r="V26" s="207"/>
      <c r="W26" s="207" t="s">
        <v>324</v>
      </c>
      <c r="X26" s="207"/>
      <c r="Y26" s="207"/>
      <c r="Z26" s="207" t="s">
        <v>324</v>
      </c>
      <c r="AA26" s="207"/>
      <c r="AB26" s="207"/>
      <c r="AC26" s="207" t="s">
        <v>324</v>
      </c>
      <c r="AD26" s="207"/>
      <c r="AE26" s="207"/>
      <c r="AF26" s="207" t="s">
        <v>325</v>
      </c>
      <c r="AG26" s="207"/>
      <c r="AH26" s="207"/>
      <c r="AI26" s="207" t="s">
        <v>325</v>
      </c>
      <c r="AJ26" s="207"/>
      <c r="AK26" s="207"/>
      <c r="AL26" s="207" t="s">
        <v>325</v>
      </c>
      <c r="AM26" s="207"/>
      <c r="AN26" s="207"/>
      <c r="AO26" s="207" t="s">
        <v>325</v>
      </c>
      <c r="AP26" s="207"/>
      <c r="AQ26" s="207"/>
      <c r="AR26" s="207" t="s">
        <v>326</v>
      </c>
      <c r="AS26" s="207"/>
      <c r="AT26" s="207"/>
      <c r="AU26" s="207" t="s">
        <v>326</v>
      </c>
      <c r="AV26" s="207"/>
      <c r="AW26" s="207"/>
      <c r="AX26" s="207" t="s">
        <v>326</v>
      </c>
      <c r="AY26" s="207"/>
      <c r="AZ26" s="207"/>
      <c r="BA26" s="207" t="s">
        <v>326</v>
      </c>
      <c r="BB26" s="207"/>
      <c r="BC26" s="207"/>
      <c r="BD26" s="207">
        <v>2022</v>
      </c>
      <c r="BE26" s="207"/>
      <c r="BF26" s="207"/>
      <c r="BG26" s="207">
        <v>2022</v>
      </c>
      <c r="BH26" s="207"/>
      <c r="BI26" s="207"/>
      <c r="BJ26" s="207">
        <v>2022</v>
      </c>
      <c r="BK26" s="207"/>
      <c r="BL26" s="207"/>
      <c r="BM26" s="207">
        <v>2022</v>
      </c>
      <c r="BN26" s="207"/>
      <c r="BO26" s="207"/>
      <c r="BP26" s="207">
        <v>2023</v>
      </c>
      <c r="BQ26" s="207"/>
      <c r="BR26" s="207"/>
      <c r="BS26" s="207">
        <v>2023</v>
      </c>
      <c r="BT26" s="207"/>
      <c r="BU26" s="207"/>
      <c r="BV26" s="207">
        <v>2023</v>
      </c>
      <c r="BW26" s="207"/>
      <c r="BX26" s="207"/>
      <c r="BY26" s="207">
        <v>2023</v>
      </c>
      <c r="BZ26" s="207"/>
      <c r="CA26" s="207"/>
      <c r="CB26" s="207">
        <v>2024</v>
      </c>
      <c r="CC26" s="207"/>
      <c r="CD26" s="207"/>
      <c r="CE26" s="207">
        <v>2024</v>
      </c>
      <c r="CF26" s="207"/>
      <c r="CG26" s="207"/>
      <c r="CH26" s="207">
        <v>2024</v>
      </c>
      <c r="CI26" s="207"/>
      <c r="CJ26" s="207"/>
      <c r="CK26" s="207">
        <v>2024</v>
      </c>
      <c r="CL26" s="207"/>
      <c r="CM26" s="207"/>
      <c r="CN26" s="74"/>
    </row>
    <row r="27" spans="1:92" s="41" customFormat="1" ht="16.2" customHeight="1" x14ac:dyDescent="0.4">
      <c r="A27" s="156">
        <v>1</v>
      </c>
      <c r="B27" s="24" t="s">
        <v>189</v>
      </c>
      <c r="C27" s="46"/>
      <c r="D27" s="277" t="str">
        <f t="shared" ref="D27:BO27" si="69">D3</f>
        <v>1Q17</v>
      </c>
      <c r="E27" s="278" t="str">
        <f t="shared" si="69"/>
        <v>2Q17</v>
      </c>
      <c r="F27" s="278" t="str">
        <f t="shared" si="69"/>
        <v>3Q17</v>
      </c>
      <c r="G27" s="278" t="str">
        <f t="shared" si="69"/>
        <v>4Q17</v>
      </c>
      <c r="H27" s="279" t="str">
        <f t="shared" si="69"/>
        <v>1Q18</v>
      </c>
      <c r="I27" s="280" t="str">
        <f t="shared" si="69"/>
        <v>QoQ</v>
      </c>
      <c r="J27" s="280" t="str">
        <f t="shared" si="69"/>
        <v>YoY</v>
      </c>
      <c r="K27" s="281" t="str">
        <f t="shared" si="69"/>
        <v>2Q18</v>
      </c>
      <c r="L27" s="280" t="str">
        <f t="shared" si="69"/>
        <v>QoQ</v>
      </c>
      <c r="M27" s="280" t="str">
        <f t="shared" si="69"/>
        <v>YoY</v>
      </c>
      <c r="N27" s="281" t="str">
        <f t="shared" si="69"/>
        <v>3Q18</v>
      </c>
      <c r="O27" s="280" t="str">
        <f t="shared" si="69"/>
        <v>QoQ</v>
      </c>
      <c r="P27" s="280" t="str">
        <f t="shared" si="69"/>
        <v>YoY</v>
      </c>
      <c r="Q27" s="281" t="str">
        <f t="shared" si="69"/>
        <v>4Q18</v>
      </c>
      <c r="R27" s="280" t="str">
        <f t="shared" si="69"/>
        <v>QoQ</v>
      </c>
      <c r="S27" s="282" t="str">
        <f t="shared" si="69"/>
        <v>YoY</v>
      </c>
      <c r="T27" s="279" t="str">
        <f t="shared" si="69"/>
        <v>1Q19</v>
      </c>
      <c r="U27" s="280" t="str">
        <f t="shared" si="69"/>
        <v>QoQ</v>
      </c>
      <c r="V27" s="280" t="str">
        <f t="shared" si="69"/>
        <v>YoY</v>
      </c>
      <c r="W27" s="281" t="str">
        <f t="shared" si="69"/>
        <v>2Q19</v>
      </c>
      <c r="X27" s="280" t="str">
        <f t="shared" si="69"/>
        <v>QoQ</v>
      </c>
      <c r="Y27" s="280" t="str">
        <f t="shared" si="69"/>
        <v>YoY</v>
      </c>
      <c r="Z27" s="281" t="str">
        <f t="shared" si="69"/>
        <v>3Q19</v>
      </c>
      <c r="AA27" s="280" t="str">
        <f t="shared" si="69"/>
        <v>QoQ</v>
      </c>
      <c r="AB27" s="280" t="str">
        <f t="shared" si="69"/>
        <v>YoY</v>
      </c>
      <c r="AC27" s="281" t="str">
        <f t="shared" si="69"/>
        <v>4Q19</v>
      </c>
      <c r="AD27" s="280" t="str">
        <f t="shared" si="69"/>
        <v>QoQ</v>
      </c>
      <c r="AE27" s="282" t="str">
        <f t="shared" si="69"/>
        <v>YoY</v>
      </c>
      <c r="AF27" s="279" t="str">
        <f t="shared" si="69"/>
        <v>1Q20</v>
      </c>
      <c r="AG27" s="280" t="str">
        <f t="shared" si="69"/>
        <v>QoQ</v>
      </c>
      <c r="AH27" s="280" t="str">
        <f t="shared" si="69"/>
        <v>YoY</v>
      </c>
      <c r="AI27" s="281" t="str">
        <f t="shared" si="69"/>
        <v>2Q20</v>
      </c>
      <c r="AJ27" s="280" t="str">
        <f t="shared" si="69"/>
        <v>QoQ</v>
      </c>
      <c r="AK27" s="280" t="str">
        <f t="shared" si="69"/>
        <v>YoY</v>
      </c>
      <c r="AL27" s="281" t="str">
        <f t="shared" si="69"/>
        <v>3Q20</v>
      </c>
      <c r="AM27" s="280" t="str">
        <f t="shared" si="69"/>
        <v>QoQ</v>
      </c>
      <c r="AN27" s="280" t="str">
        <f t="shared" si="69"/>
        <v>YoY</v>
      </c>
      <c r="AO27" s="281" t="str">
        <f t="shared" si="69"/>
        <v>4Q20</v>
      </c>
      <c r="AP27" s="280" t="str">
        <f t="shared" si="69"/>
        <v>QoQ</v>
      </c>
      <c r="AQ27" s="282" t="str">
        <f t="shared" si="69"/>
        <v>YoY</v>
      </c>
      <c r="AR27" s="279" t="str">
        <f t="shared" si="69"/>
        <v>1Q21</v>
      </c>
      <c r="AS27" s="280" t="str">
        <f t="shared" si="69"/>
        <v>QoQ</v>
      </c>
      <c r="AT27" s="280" t="str">
        <f t="shared" si="69"/>
        <v>YoY</v>
      </c>
      <c r="AU27" s="281" t="str">
        <f t="shared" si="69"/>
        <v>2Q21</v>
      </c>
      <c r="AV27" s="280" t="str">
        <f t="shared" si="69"/>
        <v>QoQ</v>
      </c>
      <c r="AW27" s="280" t="str">
        <f t="shared" si="69"/>
        <v>YoY</v>
      </c>
      <c r="AX27" s="281" t="str">
        <f t="shared" si="69"/>
        <v>3Q21</v>
      </c>
      <c r="AY27" s="280" t="str">
        <f t="shared" si="69"/>
        <v>QoQ</v>
      </c>
      <c r="AZ27" s="280" t="str">
        <f t="shared" si="69"/>
        <v>YoY</v>
      </c>
      <c r="BA27" s="281" t="str">
        <f t="shared" si="69"/>
        <v>4Q21</v>
      </c>
      <c r="BB27" s="280" t="str">
        <f t="shared" si="69"/>
        <v>QoQ</v>
      </c>
      <c r="BC27" s="282" t="str">
        <f t="shared" si="69"/>
        <v>YoY</v>
      </c>
      <c r="BD27" s="279" t="str">
        <f t="shared" si="69"/>
        <v>1Q22</v>
      </c>
      <c r="BE27" s="280" t="str">
        <f t="shared" si="69"/>
        <v>QoQ</v>
      </c>
      <c r="BF27" s="280" t="str">
        <f t="shared" si="69"/>
        <v>YoY</v>
      </c>
      <c r="BG27" s="281" t="str">
        <f t="shared" si="69"/>
        <v>2Q22</v>
      </c>
      <c r="BH27" s="280" t="str">
        <f t="shared" si="69"/>
        <v>QoQ</v>
      </c>
      <c r="BI27" s="280" t="str">
        <f t="shared" si="69"/>
        <v>YoY</v>
      </c>
      <c r="BJ27" s="281" t="str">
        <f t="shared" si="69"/>
        <v>3Q22</v>
      </c>
      <c r="BK27" s="280" t="str">
        <f t="shared" si="69"/>
        <v>QoQ</v>
      </c>
      <c r="BL27" s="280" t="str">
        <f t="shared" si="69"/>
        <v>YoY</v>
      </c>
      <c r="BM27" s="281" t="str">
        <f t="shared" si="69"/>
        <v>4Q22</v>
      </c>
      <c r="BN27" s="280" t="str">
        <f t="shared" si="69"/>
        <v>QoQ</v>
      </c>
      <c r="BO27" s="282" t="str">
        <f t="shared" si="69"/>
        <v>YoY</v>
      </c>
      <c r="BP27" s="279" t="str">
        <f t="shared" ref="BP27:CM27" si="70">BP3</f>
        <v>1Q23</v>
      </c>
      <c r="BQ27" s="280" t="str">
        <f t="shared" si="70"/>
        <v>QoQ</v>
      </c>
      <c r="BR27" s="280" t="str">
        <f t="shared" si="70"/>
        <v>YoY</v>
      </c>
      <c r="BS27" s="281" t="str">
        <f t="shared" si="70"/>
        <v>2Q23</v>
      </c>
      <c r="BT27" s="280" t="str">
        <f t="shared" si="70"/>
        <v>QoQ</v>
      </c>
      <c r="BU27" s="280" t="str">
        <f t="shared" si="70"/>
        <v>YoY</v>
      </c>
      <c r="BV27" s="281" t="str">
        <f t="shared" si="70"/>
        <v>3Q23</v>
      </c>
      <c r="BW27" s="280" t="str">
        <f t="shared" si="70"/>
        <v>QoQ</v>
      </c>
      <c r="BX27" s="280" t="str">
        <f t="shared" si="70"/>
        <v>YoY</v>
      </c>
      <c r="BY27" s="281" t="str">
        <f t="shared" si="70"/>
        <v>4Q23</v>
      </c>
      <c r="BZ27" s="280" t="str">
        <f t="shared" si="70"/>
        <v>QoQ</v>
      </c>
      <c r="CA27" s="282" t="str">
        <f t="shared" si="70"/>
        <v>YoY</v>
      </c>
      <c r="CB27" s="279" t="str">
        <f t="shared" si="70"/>
        <v>1Q24</v>
      </c>
      <c r="CC27" s="280" t="str">
        <f t="shared" si="70"/>
        <v>QoQ</v>
      </c>
      <c r="CD27" s="280" t="str">
        <f t="shared" si="70"/>
        <v>YoY</v>
      </c>
      <c r="CE27" s="281" t="str">
        <f t="shared" si="70"/>
        <v>2Q24</v>
      </c>
      <c r="CF27" s="280" t="str">
        <f t="shared" si="70"/>
        <v>QoQ</v>
      </c>
      <c r="CG27" s="280" t="str">
        <f t="shared" si="70"/>
        <v>YoY</v>
      </c>
      <c r="CH27" s="281" t="str">
        <f t="shared" si="70"/>
        <v>3Q24</v>
      </c>
      <c r="CI27" s="280" t="str">
        <f t="shared" si="70"/>
        <v>QoQ</v>
      </c>
      <c r="CJ27" s="280" t="str">
        <f t="shared" si="70"/>
        <v>YoY</v>
      </c>
      <c r="CK27" s="281" t="str">
        <f t="shared" si="70"/>
        <v>4Q24</v>
      </c>
      <c r="CL27" s="280" t="str">
        <f t="shared" si="70"/>
        <v>QoQ</v>
      </c>
      <c r="CM27" s="282" t="str">
        <f t="shared" si="70"/>
        <v>YoY</v>
      </c>
      <c r="CN27" s="74"/>
    </row>
    <row r="28" spans="1:92" s="21" customFormat="1" ht="16.2" customHeight="1" x14ac:dyDescent="0.4">
      <c r="A28" s="156">
        <f>IF(A27="","",A27+1)</f>
        <v>2</v>
      </c>
      <c r="B28" s="76" t="s">
        <v>351</v>
      </c>
      <c r="C28" s="77" t="s">
        <v>352</v>
      </c>
      <c r="D28" s="78">
        <v>5.87</v>
      </c>
      <c r="E28" s="79">
        <v>5.78</v>
      </c>
      <c r="F28" s="79">
        <v>4.45</v>
      </c>
      <c r="G28" s="80">
        <v>4.8009999999999975</v>
      </c>
      <c r="H28" s="81">
        <v>5.47</v>
      </c>
      <c r="I28" s="283">
        <f t="shared" ref="I28:I39" si="71">H28/G28-1</f>
        <v>0.13934596958966927</v>
      </c>
      <c r="J28" s="284">
        <f t="shared" ref="J28:J39" si="72">H28/D28-1</f>
        <v>-6.8143100511073307E-2</v>
      </c>
      <c r="K28" s="82">
        <v>6.28</v>
      </c>
      <c r="L28" s="283">
        <f t="shared" ref="L28:L39" si="73">K28/H28-1</f>
        <v>0.14808043875685573</v>
      </c>
      <c r="M28" s="284">
        <f t="shared" ref="M28:M39" si="74">K28/E28-1</f>
        <v>8.6505190311418678E-2</v>
      </c>
      <c r="N28" s="82">
        <v>5.56</v>
      </c>
      <c r="O28" s="283">
        <f t="shared" ref="O28:O39" si="75">N28/K28-1</f>
        <v>-0.11464968152866251</v>
      </c>
      <c r="P28" s="284">
        <f t="shared" ref="P28:P39" si="76">N28/F28-1</f>
        <v>0.24943820224719082</v>
      </c>
      <c r="Q28" s="82">
        <v>7.7550000000000017</v>
      </c>
      <c r="R28" s="283">
        <f t="shared" ref="R28:R39" si="77">Q28/N28-1</f>
        <v>0.39478417266187082</v>
      </c>
      <c r="S28" s="285">
        <f t="shared" ref="S28:S39" si="78">Q28/G28-1</f>
        <v>0.61528848156634153</v>
      </c>
      <c r="T28" s="81">
        <v>7.02</v>
      </c>
      <c r="U28" s="283">
        <f t="shared" ref="U28:U39" si="79">T28/Q28-1</f>
        <v>-9.4777562862669473E-2</v>
      </c>
      <c r="V28" s="284">
        <f t="shared" ref="V28:V39" si="80">T28/H28-1</f>
        <v>0.28336380255941496</v>
      </c>
      <c r="W28" s="82">
        <v>10.39</v>
      </c>
      <c r="X28" s="283">
        <f t="shared" ref="X28:X39" si="81">W28/T28-1</f>
        <v>0.48005698005698028</v>
      </c>
      <c r="Y28" s="284">
        <f t="shared" ref="Y28:Y39" si="82">W28/K28-1</f>
        <v>0.65445859872611467</v>
      </c>
      <c r="Z28" s="82">
        <v>9.0876030000000014</v>
      </c>
      <c r="AA28" s="283">
        <f t="shared" ref="AA28:AA39" si="83">Z28/W28-1</f>
        <v>-0.12535101058710285</v>
      </c>
      <c r="AB28" s="284">
        <f t="shared" ref="AB28:AB39" si="84">Z28/N28-1</f>
        <v>0.63446097122302203</v>
      </c>
      <c r="AC28" s="82">
        <v>10.284396999999995</v>
      </c>
      <c r="AD28" s="283">
        <f t="shared" ref="AD28:AD39" si="85">AC28/Z28-1</f>
        <v>0.13169523360560453</v>
      </c>
      <c r="AE28" s="285">
        <f t="shared" ref="AE28:AE39" si="86">AC28/Q28-1</f>
        <v>0.32616337846550514</v>
      </c>
      <c r="AF28" s="81">
        <v>9.2010000000000005</v>
      </c>
      <c r="AG28" s="283">
        <f t="shared" ref="AG28:AG39" si="87">AF28/AC28-1</f>
        <v>-0.1053437552050932</v>
      </c>
      <c r="AH28" s="284">
        <f t="shared" ref="AH28:AH39" si="88">AF28/T28-1</f>
        <v>0.31068376068376091</v>
      </c>
      <c r="AI28" s="82">
        <v>5.8106259999999992</v>
      </c>
      <c r="AJ28" s="283">
        <f t="shared" ref="AJ28:AJ47" si="89">AI28/AF28-1</f>
        <v>-0.36847886099337046</v>
      </c>
      <c r="AK28" s="284">
        <f t="shared" ref="AK28:AK39" si="90">AI28/W28-1</f>
        <v>-0.44074821944177101</v>
      </c>
      <c r="AL28" s="82">
        <v>8.1809920000000016</v>
      </c>
      <c r="AM28" s="283">
        <f t="shared" ref="AM28:AM47" si="91">AL28/AI28-1</f>
        <v>0.40793642543849873</v>
      </c>
      <c r="AN28" s="284">
        <f t="shared" ref="AN28:AN39" si="92">AL28/Z28-1</f>
        <v>-9.97634909887678E-2</v>
      </c>
      <c r="AO28" s="82">
        <v>9.7433820000000004</v>
      </c>
      <c r="AP28" s="283">
        <f t="shared" ref="AP28:AP47" si="93">AO28/AL28-1</f>
        <v>0.19097806231811476</v>
      </c>
      <c r="AQ28" s="285">
        <f t="shared" ref="AQ28:AQ39" si="94">AO28/AC28-1</f>
        <v>-5.2605417702174972E-2</v>
      </c>
      <c r="AR28" s="81">
        <v>9.207414</v>
      </c>
      <c r="AS28" s="283">
        <f t="shared" ref="AS28:AS39" si="95">AR28/AO28-1</f>
        <v>-5.5008414942573358E-2</v>
      </c>
      <c r="AT28" s="284">
        <f t="shared" ref="AT28:AT39" si="96">AR28/AF28-1</f>
        <v>6.9709814150620275E-4</v>
      </c>
      <c r="AU28" s="82">
        <v>16.788585999999999</v>
      </c>
      <c r="AV28" s="283">
        <f t="shared" ref="AV28:AV47" si="97">AU28/AR28-1</f>
        <v>0.82337690039787481</v>
      </c>
      <c r="AW28" s="284">
        <f t="shared" ref="AW28:AW39" si="98">AU28/AI28-1</f>
        <v>1.8892904138039519</v>
      </c>
      <c r="AX28" s="82">
        <v>10.722381</v>
      </c>
      <c r="AY28" s="283">
        <f t="shared" ref="AY28:AY47" si="99">AX28/AU28-1</f>
        <v>-0.36132911967690418</v>
      </c>
      <c r="AZ28" s="284">
        <f t="shared" ref="AZ28:AZ39" si="100">AX28/AL28-1</f>
        <v>0.31064557941139626</v>
      </c>
      <c r="BA28" s="82">
        <v>10.171329000000002</v>
      </c>
      <c r="BB28" s="283">
        <f t="shared" ref="BB28:BB47" si="101">BA28/AX28-1</f>
        <v>-5.1392689739340414E-2</v>
      </c>
      <c r="BC28" s="285">
        <f t="shared" ref="BC28:BC39" si="102">BA28/AO28-1</f>
        <v>4.3921812775071567E-2</v>
      </c>
      <c r="BD28" s="81">
        <v>20.5</v>
      </c>
      <c r="BE28" s="283">
        <f t="shared" ref="BE28:BE39" si="103">BD28/BA28-1</f>
        <v>1.015469168286661</v>
      </c>
      <c r="BF28" s="284">
        <f t="shared" ref="BF28:BF39" si="104">BD28/AR28-1</f>
        <v>1.2264666278718432</v>
      </c>
      <c r="BG28" s="82">
        <v>17.100000000000001</v>
      </c>
      <c r="BH28" s="283">
        <f t="shared" ref="BH28:BH47" si="105">BG28/BD28-1</f>
        <v>-0.16585365853658529</v>
      </c>
      <c r="BI28" s="284">
        <f t="shared" ref="BI28:BI39" si="106">BG28/AU28-1</f>
        <v>1.8549149999886883E-2</v>
      </c>
      <c r="BJ28" s="82">
        <v>15.5</v>
      </c>
      <c r="BK28" s="283">
        <f t="shared" ref="BK28:BK47" si="107">BJ28/BG28-1</f>
        <v>-9.356725146198841E-2</v>
      </c>
      <c r="BL28" s="284">
        <f t="shared" ref="BL28:BL39" si="108">BJ28/AX28-1</f>
        <v>0.44557444843640592</v>
      </c>
      <c r="BM28" s="82">
        <v>21.042000000000002</v>
      </c>
      <c r="BN28" s="283">
        <f t="shared" ref="BN28:BN47" si="109">BM28/BJ28-1</f>
        <v>0.35754838709677439</v>
      </c>
      <c r="BO28" s="285">
        <f t="shared" ref="BO28:BO39" si="110">BM28/BA28-1</f>
        <v>1.0687562067847769</v>
      </c>
      <c r="BP28" s="81">
        <f t="shared" ref="BP28" si="111">BP29+BP30</f>
        <v>18.351500000000001</v>
      </c>
      <c r="BQ28" s="283">
        <f t="shared" ref="BQ28:BQ47" si="112">BP28/BM28-1</f>
        <v>-0.12786332097709341</v>
      </c>
      <c r="BR28" s="284">
        <f t="shared" ref="BR28:BR47" si="113">BP28/BD28-1</f>
        <v>-0.10480487804878047</v>
      </c>
      <c r="BS28" s="82">
        <f t="shared" ref="BS28" si="114">BS29+BS30</f>
        <v>21.957000000000001</v>
      </c>
      <c r="BT28" s="283">
        <f t="shared" ref="BT28:BT47" si="115">BS28/BP28-1</f>
        <v>0.19646895349154025</v>
      </c>
      <c r="BU28" s="284">
        <f t="shared" ref="BU28:BU47" si="116">BS28/BG28-1</f>
        <v>0.28403508771929808</v>
      </c>
      <c r="BV28" s="82">
        <f t="shared" ref="BV28" si="117">BV29+BV30</f>
        <v>25.825000000000003</v>
      </c>
      <c r="BW28" s="283">
        <f t="shared" ref="BW28:BW47" si="118">BV28/BS28-1</f>
        <v>0.17616249943070561</v>
      </c>
      <c r="BX28" s="284">
        <f t="shared" ref="BX28:BX47" si="119">BV28/BJ28-1</f>
        <v>0.66612903225806464</v>
      </c>
      <c r="BY28" s="82">
        <f t="shared" ref="BY28" si="120">BY29+BY30</f>
        <v>23.844000000000001</v>
      </c>
      <c r="BZ28" s="283">
        <f t="shared" ref="BZ28:BZ47" si="121">BY28/BV28-1</f>
        <v>-7.6708615682478221E-2</v>
      </c>
      <c r="CA28" s="285">
        <f t="shared" ref="CA28:CA39" si="122">BY28/BM28-1</f>
        <v>0.13316224693470202</v>
      </c>
      <c r="CB28" s="81">
        <f t="shared" ref="CB28" si="123">CB29+CB30</f>
        <v>20.800999999999998</v>
      </c>
      <c r="CC28" s="283">
        <f t="shared" ref="CC28:CC39" si="124">CB28/BY28-1</f>
        <v>-0.12762120449589009</v>
      </c>
      <c r="CD28" s="284">
        <f t="shared" ref="CD28:CD39" si="125">CB28/BP28-1</f>
        <v>0.13347682750728795</v>
      </c>
      <c r="CE28" s="82">
        <f t="shared" ref="CE28" si="126">CE29+CE30</f>
        <v>29.858420000000002</v>
      </c>
      <c r="CF28" s="283">
        <f t="shared" ref="CF28:CF47" si="127">CE28/CB28-1</f>
        <v>0.43543195038700078</v>
      </c>
      <c r="CG28" s="284">
        <f t="shared" ref="CG28:CG39" si="128">CE28/BS28-1</f>
        <v>0.35985881495650607</v>
      </c>
      <c r="CH28" s="82">
        <f>CH29+CH30</f>
        <v>31.913</v>
      </c>
      <c r="CI28" s="283">
        <f t="shared" ref="CI28:CI47" si="129">CH28/CE28-1</f>
        <v>6.8810740822856653E-2</v>
      </c>
      <c r="CJ28" s="284">
        <f t="shared" ref="CJ28:CJ39" si="130">CH28/BV28-1</f>
        <v>0.23574056147144229</v>
      </c>
      <c r="CK28" s="82">
        <f t="shared" ref="CK28" si="131">CK29+CK30</f>
        <v>28.757988000000001</v>
      </c>
      <c r="CL28" s="283">
        <f t="shared" ref="CL28" si="132">CK28/CH28-1</f>
        <v>-9.8862908532572957E-2</v>
      </c>
      <c r="CM28" s="285">
        <f t="shared" ref="CM28:CM39" si="133">CK28/BY28-1</f>
        <v>0.20608907901358831</v>
      </c>
      <c r="CN28" s="74"/>
    </row>
    <row r="29" spans="1:92" s="89" customFormat="1" ht="16.2" customHeight="1" x14ac:dyDescent="0.4">
      <c r="A29" s="156">
        <f t="shared" ref="A29:A48" si="134">IF(A28="","",A28+1)</f>
        <v>3</v>
      </c>
      <c r="B29" s="83" t="s">
        <v>204</v>
      </c>
      <c r="C29" s="84" t="s">
        <v>406</v>
      </c>
      <c r="D29" s="286">
        <v>4.32</v>
      </c>
      <c r="E29" s="287">
        <v>3.7</v>
      </c>
      <c r="F29" s="287">
        <v>2.56</v>
      </c>
      <c r="G29" s="288">
        <v>3.22</v>
      </c>
      <c r="H29" s="289">
        <v>3.47</v>
      </c>
      <c r="I29" s="251">
        <f t="shared" si="71"/>
        <v>7.7639751552795122E-2</v>
      </c>
      <c r="J29" s="252">
        <f t="shared" si="72"/>
        <v>-0.1967592592592593</v>
      </c>
      <c r="K29" s="290">
        <v>4.26</v>
      </c>
      <c r="L29" s="251">
        <f t="shared" si="73"/>
        <v>0.22766570605187297</v>
      </c>
      <c r="M29" s="252">
        <f t="shared" si="74"/>
        <v>0.15135135135135114</v>
      </c>
      <c r="N29" s="290">
        <v>2.95</v>
      </c>
      <c r="O29" s="251">
        <f t="shared" si="75"/>
        <v>-0.30751173708920176</v>
      </c>
      <c r="P29" s="252">
        <f t="shared" si="76"/>
        <v>0.15234375</v>
      </c>
      <c r="Q29" s="290">
        <v>4.1390000000000002</v>
      </c>
      <c r="R29" s="251">
        <f t="shared" si="77"/>
        <v>0.40305084745762709</v>
      </c>
      <c r="S29" s="253">
        <f t="shared" si="78"/>
        <v>0.28540372670807446</v>
      </c>
      <c r="T29" s="289">
        <v>3.8519999999999999</v>
      </c>
      <c r="U29" s="251">
        <f t="shared" si="79"/>
        <v>-6.9340420391398983E-2</v>
      </c>
      <c r="V29" s="252">
        <f t="shared" si="80"/>
        <v>0.11008645533141204</v>
      </c>
      <c r="W29" s="290">
        <v>4.9309999999999992</v>
      </c>
      <c r="X29" s="251">
        <f t="shared" si="81"/>
        <v>0.28011422637590844</v>
      </c>
      <c r="Y29" s="252">
        <f t="shared" si="82"/>
        <v>0.15751173708920163</v>
      </c>
      <c r="Z29" s="290">
        <v>5.0030530000000013</v>
      </c>
      <c r="AA29" s="251">
        <f t="shared" si="83"/>
        <v>1.4612249036706881E-2</v>
      </c>
      <c r="AB29" s="252">
        <f t="shared" si="84"/>
        <v>0.69595016949152577</v>
      </c>
      <c r="AC29" s="290">
        <v>5.8639469999999978</v>
      </c>
      <c r="AD29" s="251">
        <f t="shared" si="85"/>
        <v>0.17207373177937479</v>
      </c>
      <c r="AE29" s="253">
        <f t="shared" si="86"/>
        <v>0.41675453007972885</v>
      </c>
      <c r="AF29" s="289">
        <v>5.63</v>
      </c>
      <c r="AG29" s="251">
        <f t="shared" si="87"/>
        <v>-3.9895824433610616E-2</v>
      </c>
      <c r="AH29" s="252">
        <f t="shared" si="88"/>
        <v>0.46157840083073731</v>
      </c>
      <c r="AI29" s="290">
        <v>2.5627529999999998</v>
      </c>
      <c r="AJ29" s="251">
        <f t="shared" si="89"/>
        <v>-0.54480408525754886</v>
      </c>
      <c r="AK29" s="252">
        <f t="shared" si="90"/>
        <v>-0.48027722571486509</v>
      </c>
      <c r="AL29" s="290">
        <v>5.5278900000000002</v>
      </c>
      <c r="AM29" s="251">
        <f t="shared" si="91"/>
        <v>1.1570124003366695</v>
      </c>
      <c r="AN29" s="252">
        <f t="shared" si="92"/>
        <v>0.10490334601692175</v>
      </c>
      <c r="AO29" s="290">
        <v>6.8383570000000011</v>
      </c>
      <c r="AP29" s="251">
        <f t="shared" si="93"/>
        <v>0.23706459426652859</v>
      </c>
      <c r="AQ29" s="253">
        <f t="shared" si="94"/>
        <v>0.16616964648555044</v>
      </c>
      <c r="AR29" s="289">
        <v>6.2937719999999997</v>
      </c>
      <c r="AS29" s="251">
        <f t="shared" si="95"/>
        <v>-7.9636819195020303E-2</v>
      </c>
      <c r="AT29" s="252">
        <f t="shared" si="96"/>
        <v>0.11789911190053282</v>
      </c>
      <c r="AU29" s="290">
        <v>13.044847000000001</v>
      </c>
      <c r="AV29" s="251">
        <f t="shared" si="97"/>
        <v>1.0726596069892587</v>
      </c>
      <c r="AW29" s="252">
        <f t="shared" si="98"/>
        <v>4.0901694388807668</v>
      </c>
      <c r="AX29" s="290">
        <v>8.633381</v>
      </c>
      <c r="AY29" s="251">
        <f t="shared" si="99"/>
        <v>-0.33817690617605556</v>
      </c>
      <c r="AZ29" s="252">
        <f t="shared" si="100"/>
        <v>0.56178596173223405</v>
      </c>
      <c r="BA29" s="290">
        <v>8.5910000000000011</v>
      </c>
      <c r="BB29" s="251">
        <f t="shared" si="101"/>
        <v>-4.9089690354218174E-3</v>
      </c>
      <c r="BC29" s="253">
        <f t="shared" si="102"/>
        <v>0.25629592020422454</v>
      </c>
      <c r="BD29" s="289">
        <v>8.6999999999999993</v>
      </c>
      <c r="BE29" s="251">
        <f t="shared" si="103"/>
        <v>1.268769642649259E-2</v>
      </c>
      <c r="BF29" s="252">
        <f t="shared" si="104"/>
        <v>0.3823189019239972</v>
      </c>
      <c r="BG29" s="290">
        <v>9.4</v>
      </c>
      <c r="BH29" s="251">
        <f t="shared" si="105"/>
        <v>8.0459770114942764E-2</v>
      </c>
      <c r="BI29" s="252">
        <f t="shared" si="106"/>
        <v>-0.27940894975617581</v>
      </c>
      <c r="BJ29" s="290">
        <v>11.5</v>
      </c>
      <c r="BK29" s="251">
        <f t="shared" si="107"/>
        <v>0.22340425531914887</v>
      </c>
      <c r="BL29" s="252">
        <f t="shared" si="108"/>
        <v>0.33203897754541356</v>
      </c>
      <c r="BM29" s="290">
        <v>14.7</v>
      </c>
      <c r="BN29" s="251">
        <f t="shared" si="109"/>
        <v>0.27826086956521734</v>
      </c>
      <c r="BO29" s="253">
        <f t="shared" si="110"/>
        <v>0.71109300430683242</v>
      </c>
      <c r="BP29" s="289">
        <v>12.4595</v>
      </c>
      <c r="BQ29" s="251">
        <f t="shared" si="112"/>
        <v>-0.15241496598639448</v>
      </c>
      <c r="BR29" s="252">
        <f t="shared" si="113"/>
        <v>0.43212643678160934</v>
      </c>
      <c r="BS29" s="290">
        <v>16.306000000000001</v>
      </c>
      <c r="BT29" s="251">
        <f t="shared" si="115"/>
        <v>0.30872025362173439</v>
      </c>
      <c r="BU29" s="252">
        <f t="shared" si="116"/>
        <v>0.73468085106382985</v>
      </c>
      <c r="BV29" s="290">
        <v>17.78</v>
      </c>
      <c r="BW29" s="251">
        <f t="shared" si="118"/>
        <v>9.0396173187783591E-2</v>
      </c>
      <c r="BX29" s="252">
        <f t="shared" si="119"/>
        <v>0.54608695652173922</v>
      </c>
      <c r="BY29" s="290">
        <v>16.61</v>
      </c>
      <c r="BZ29" s="251">
        <f t="shared" si="121"/>
        <v>-6.5804274465691925E-2</v>
      </c>
      <c r="CA29" s="253">
        <f t="shared" si="122"/>
        <v>0.12993197278911572</v>
      </c>
      <c r="CB29" s="289">
        <v>14.266999999999999</v>
      </c>
      <c r="CC29" s="251">
        <f t="shared" si="124"/>
        <v>-0.14105960264900663</v>
      </c>
      <c r="CD29" s="252">
        <f t="shared" si="125"/>
        <v>0.14507002688711412</v>
      </c>
      <c r="CE29" s="290">
        <v>23.310700000000001</v>
      </c>
      <c r="CF29" s="251">
        <f t="shared" si="127"/>
        <v>0.63388939510759101</v>
      </c>
      <c r="CG29" s="252">
        <f t="shared" si="128"/>
        <v>0.42957806942229859</v>
      </c>
      <c r="CH29" s="290">
        <v>25.372</v>
      </c>
      <c r="CI29" s="251">
        <f t="shared" si="129"/>
        <v>8.8427202958297979E-2</v>
      </c>
      <c r="CJ29" s="252">
        <f t="shared" si="130"/>
        <v>0.42699662542182226</v>
      </c>
      <c r="CK29" s="290">
        <v>21.751625000000001</v>
      </c>
      <c r="CL29" s="251">
        <f>CK29/CH29-1</f>
        <v>-0.14269174680750429</v>
      </c>
      <c r="CM29" s="253">
        <f t="shared" si="133"/>
        <v>0.30954996989765204</v>
      </c>
      <c r="CN29" s="74"/>
    </row>
    <row r="30" spans="1:92" s="89" customFormat="1" ht="16.2" customHeight="1" x14ac:dyDescent="0.4">
      <c r="A30" s="156">
        <f t="shared" si="134"/>
        <v>4</v>
      </c>
      <c r="B30" s="83" t="s">
        <v>205</v>
      </c>
      <c r="C30" s="84" t="s">
        <v>407</v>
      </c>
      <c r="D30" s="286">
        <v>1.55</v>
      </c>
      <c r="E30" s="287">
        <v>2.08</v>
      </c>
      <c r="F30" s="287">
        <v>1.89</v>
      </c>
      <c r="G30" s="288">
        <v>1.5820000000000005</v>
      </c>
      <c r="H30" s="289">
        <v>2</v>
      </c>
      <c r="I30" s="251">
        <f t="shared" si="71"/>
        <v>0.26422250316055584</v>
      </c>
      <c r="J30" s="252">
        <f t="shared" si="72"/>
        <v>0.29032258064516125</v>
      </c>
      <c r="K30" s="290">
        <v>2.02</v>
      </c>
      <c r="L30" s="251">
        <f t="shared" si="73"/>
        <v>1.0000000000000009E-2</v>
      </c>
      <c r="M30" s="252">
        <f t="shared" si="74"/>
        <v>-2.8846153846153855E-2</v>
      </c>
      <c r="N30" s="290">
        <v>2.61</v>
      </c>
      <c r="O30" s="251">
        <f t="shared" si="75"/>
        <v>0.29207920792079212</v>
      </c>
      <c r="P30" s="252">
        <f t="shared" si="76"/>
        <v>0.38095238095238093</v>
      </c>
      <c r="Q30" s="290">
        <v>3.616000000000001</v>
      </c>
      <c r="R30" s="251">
        <f t="shared" si="77"/>
        <v>0.38544061302682042</v>
      </c>
      <c r="S30" s="253">
        <f t="shared" si="78"/>
        <v>1.2857142857142856</v>
      </c>
      <c r="T30" s="289">
        <v>3.1680000000000001</v>
      </c>
      <c r="U30" s="251">
        <f t="shared" si="79"/>
        <v>-0.12389380530973471</v>
      </c>
      <c r="V30" s="252">
        <f t="shared" si="80"/>
        <v>0.58400000000000007</v>
      </c>
      <c r="W30" s="290">
        <v>5.4590000000000005</v>
      </c>
      <c r="X30" s="251">
        <f t="shared" si="81"/>
        <v>0.72316919191919204</v>
      </c>
      <c r="Y30" s="252">
        <f t="shared" si="82"/>
        <v>1.7024752475247529</v>
      </c>
      <c r="Z30" s="290">
        <v>4.0845500000000001</v>
      </c>
      <c r="AA30" s="251">
        <f t="shared" si="83"/>
        <v>-0.25177688221285954</v>
      </c>
      <c r="AB30" s="252">
        <f t="shared" si="84"/>
        <v>0.56496168582375494</v>
      </c>
      <c r="AC30" s="290">
        <v>4.4214499999999983</v>
      </c>
      <c r="AD30" s="251">
        <f t="shared" si="85"/>
        <v>8.2481546314771004E-2</v>
      </c>
      <c r="AE30" s="253">
        <f t="shared" si="86"/>
        <v>0.2227461283185832</v>
      </c>
      <c r="AF30" s="289">
        <v>3.5710000000000002</v>
      </c>
      <c r="AG30" s="251">
        <f t="shared" si="87"/>
        <v>-0.19234640219837351</v>
      </c>
      <c r="AH30" s="252">
        <f t="shared" si="88"/>
        <v>0.12720959595959602</v>
      </c>
      <c r="AI30" s="290">
        <v>3.2478729999999998</v>
      </c>
      <c r="AJ30" s="251">
        <f t="shared" si="89"/>
        <v>-9.0486418370204547E-2</v>
      </c>
      <c r="AK30" s="252">
        <f t="shared" si="90"/>
        <v>-0.40504249862612207</v>
      </c>
      <c r="AL30" s="290">
        <v>2.653102000000001</v>
      </c>
      <c r="AM30" s="251">
        <f t="shared" si="91"/>
        <v>-0.18312631066547214</v>
      </c>
      <c r="AN30" s="252">
        <f t="shared" si="92"/>
        <v>-0.35045427280850994</v>
      </c>
      <c r="AO30" s="290">
        <v>2.9050249999999997</v>
      </c>
      <c r="AP30" s="251">
        <f t="shared" si="93"/>
        <v>9.49541329357102E-2</v>
      </c>
      <c r="AQ30" s="253">
        <f t="shared" si="94"/>
        <v>-0.34297006638093819</v>
      </c>
      <c r="AR30" s="289">
        <v>2.9136419999999998</v>
      </c>
      <c r="AS30" s="251">
        <f t="shared" si="95"/>
        <v>2.9662395332226144E-3</v>
      </c>
      <c r="AT30" s="252">
        <f t="shared" si="96"/>
        <v>-0.18408232987958562</v>
      </c>
      <c r="AU30" s="290">
        <v>3.7440289999999998</v>
      </c>
      <c r="AV30" s="251">
        <f t="shared" si="97"/>
        <v>0.28499966708332725</v>
      </c>
      <c r="AW30" s="252">
        <f t="shared" si="98"/>
        <v>0.15276336236053578</v>
      </c>
      <c r="AX30" s="290">
        <v>2.089</v>
      </c>
      <c r="AY30" s="251">
        <f t="shared" si="99"/>
        <v>-0.44204492005804441</v>
      </c>
      <c r="AZ30" s="252">
        <f t="shared" si="100"/>
        <v>-0.21261979373578577</v>
      </c>
      <c r="BA30" s="290">
        <v>1.5803290000000003</v>
      </c>
      <c r="BB30" s="251">
        <f t="shared" si="101"/>
        <v>-0.24349976065102907</v>
      </c>
      <c r="BC30" s="253">
        <f t="shared" si="102"/>
        <v>-0.45600158346313702</v>
      </c>
      <c r="BD30" s="289">
        <v>11.8</v>
      </c>
      <c r="BE30" s="251">
        <f t="shared" si="103"/>
        <v>6.4667996347595968</v>
      </c>
      <c r="BF30" s="252">
        <f t="shared" si="104"/>
        <v>3.0499141624125414</v>
      </c>
      <c r="BG30" s="290">
        <v>7.8</v>
      </c>
      <c r="BH30" s="251">
        <f t="shared" si="105"/>
        <v>-0.33898305084745772</v>
      </c>
      <c r="BI30" s="252">
        <f t="shared" si="106"/>
        <v>1.0833171965281254</v>
      </c>
      <c r="BJ30" s="290">
        <v>4</v>
      </c>
      <c r="BK30" s="251">
        <f t="shared" si="107"/>
        <v>-0.48717948717948711</v>
      </c>
      <c r="BL30" s="252">
        <f t="shared" si="108"/>
        <v>0.9147917663954046</v>
      </c>
      <c r="BM30" s="290">
        <v>6.3420000000000023</v>
      </c>
      <c r="BN30" s="251">
        <f t="shared" si="109"/>
        <v>0.58550000000000058</v>
      </c>
      <c r="BO30" s="253">
        <f t="shared" si="110"/>
        <v>3.0130884138682523</v>
      </c>
      <c r="BP30" s="289">
        <v>5.8920000000000003</v>
      </c>
      <c r="BQ30" s="251">
        <f t="shared" si="112"/>
        <v>-7.0955534531693787E-2</v>
      </c>
      <c r="BR30" s="252">
        <f t="shared" si="113"/>
        <v>-0.5006779661016949</v>
      </c>
      <c r="BS30" s="290">
        <v>5.6509999999999998</v>
      </c>
      <c r="BT30" s="251">
        <f t="shared" si="115"/>
        <v>-4.0902919212491562E-2</v>
      </c>
      <c r="BU30" s="252">
        <f t="shared" si="116"/>
        <v>-0.27551282051282056</v>
      </c>
      <c r="BV30" s="290">
        <v>8.0449999999999999</v>
      </c>
      <c r="BW30" s="251">
        <f t="shared" si="118"/>
        <v>0.42364183330384009</v>
      </c>
      <c r="BX30" s="252">
        <f t="shared" si="119"/>
        <v>1.01125</v>
      </c>
      <c r="BY30" s="290">
        <v>7.234</v>
      </c>
      <c r="BZ30" s="251">
        <f t="shared" si="121"/>
        <v>-0.10080795525170916</v>
      </c>
      <c r="CA30" s="253">
        <f t="shared" si="122"/>
        <v>0.14064963733837854</v>
      </c>
      <c r="CB30" s="289">
        <v>6.5339999999999998</v>
      </c>
      <c r="CC30" s="251">
        <f t="shared" si="124"/>
        <v>-9.6765275089853442E-2</v>
      </c>
      <c r="CD30" s="252">
        <f t="shared" si="125"/>
        <v>0.1089613034623218</v>
      </c>
      <c r="CE30" s="290">
        <v>6.54772</v>
      </c>
      <c r="CF30" s="251">
        <f t="shared" si="127"/>
        <v>2.0997857361493288E-3</v>
      </c>
      <c r="CG30" s="252">
        <f t="shared" si="128"/>
        <v>0.1586834188639179</v>
      </c>
      <c r="CH30" s="290">
        <f>6.533+0.008</f>
        <v>6.5410000000000004</v>
      </c>
      <c r="CI30" s="251">
        <f t="shared" si="129"/>
        <v>-1.0263114488706648E-3</v>
      </c>
      <c r="CJ30" s="252">
        <f t="shared" si="130"/>
        <v>-0.18694841516469851</v>
      </c>
      <c r="CK30" s="290">
        <v>7.0063630000000003</v>
      </c>
      <c r="CL30" s="251">
        <f t="shared" ref="CL30:CL47" si="135">CK30/CH30-1</f>
        <v>7.1145543494878449E-2</v>
      </c>
      <c r="CM30" s="253">
        <f t="shared" si="133"/>
        <v>-3.1467652750898467E-2</v>
      </c>
      <c r="CN30" s="74"/>
    </row>
    <row r="31" spans="1:92" s="21" customFormat="1" ht="16.2" customHeight="1" x14ac:dyDescent="0.4">
      <c r="A31" s="156">
        <f t="shared" si="134"/>
        <v>5</v>
      </c>
      <c r="B31" s="76" t="s">
        <v>353</v>
      </c>
      <c r="C31" s="77" t="s">
        <v>354</v>
      </c>
      <c r="D31" s="78">
        <v>0.62</v>
      </c>
      <c r="E31" s="79">
        <v>1.01</v>
      </c>
      <c r="F31" s="79">
        <v>1.1499999999999999</v>
      </c>
      <c r="G31" s="80">
        <v>1.0980000000000003</v>
      </c>
      <c r="H31" s="81">
        <v>1</v>
      </c>
      <c r="I31" s="283">
        <f t="shared" si="71"/>
        <v>-8.9253187613843599E-2</v>
      </c>
      <c r="J31" s="284">
        <f t="shared" si="72"/>
        <v>0.61290322580645173</v>
      </c>
      <c r="K31" s="82">
        <v>1.17</v>
      </c>
      <c r="L31" s="283">
        <f t="shared" si="73"/>
        <v>0.16999999999999993</v>
      </c>
      <c r="M31" s="284">
        <f t="shared" si="74"/>
        <v>0.15841584158415833</v>
      </c>
      <c r="N31" s="82">
        <v>1.46</v>
      </c>
      <c r="O31" s="283">
        <f t="shared" si="75"/>
        <v>0.24786324786324787</v>
      </c>
      <c r="P31" s="284">
        <f t="shared" si="76"/>
        <v>0.26956521739130435</v>
      </c>
      <c r="Q31" s="82">
        <v>1.7380000000000004</v>
      </c>
      <c r="R31" s="283">
        <f t="shared" si="77"/>
        <v>0.19041095890410986</v>
      </c>
      <c r="S31" s="285">
        <f t="shared" si="78"/>
        <v>0.58287795992714031</v>
      </c>
      <c r="T31" s="81">
        <v>2.0009999999999999</v>
      </c>
      <c r="U31" s="283">
        <f t="shared" si="79"/>
        <v>0.15132336018411929</v>
      </c>
      <c r="V31" s="284">
        <f t="shared" si="80"/>
        <v>1.0009999999999999</v>
      </c>
      <c r="W31" s="82">
        <v>1.9289999999999998</v>
      </c>
      <c r="X31" s="283">
        <f t="shared" si="81"/>
        <v>-3.5982008995502301E-2</v>
      </c>
      <c r="Y31" s="284">
        <f t="shared" si="82"/>
        <v>0.64871794871794863</v>
      </c>
      <c r="Z31" s="82">
        <v>1.1307049999999998</v>
      </c>
      <c r="AA31" s="283">
        <f t="shared" si="83"/>
        <v>-0.41383877656817003</v>
      </c>
      <c r="AB31" s="284">
        <f t="shared" si="84"/>
        <v>-0.22554452054794527</v>
      </c>
      <c r="AC31" s="82">
        <v>1.5242950000000004</v>
      </c>
      <c r="AD31" s="283">
        <f t="shared" si="85"/>
        <v>0.3480925617203432</v>
      </c>
      <c r="AE31" s="285">
        <f t="shared" si="86"/>
        <v>-0.12296029919447637</v>
      </c>
      <c r="AF31" s="81">
        <v>1.415</v>
      </c>
      <c r="AG31" s="283">
        <f t="shared" si="87"/>
        <v>-7.1701999940956496E-2</v>
      </c>
      <c r="AH31" s="284">
        <f t="shared" si="88"/>
        <v>-0.29285357321339323</v>
      </c>
      <c r="AI31" s="82">
        <v>0.74102899999999994</v>
      </c>
      <c r="AJ31" s="283">
        <f t="shared" si="89"/>
        <v>-0.476304593639576</v>
      </c>
      <c r="AK31" s="284">
        <f t="shared" si="90"/>
        <v>-0.61584810782789012</v>
      </c>
      <c r="AL31" s="82">
        <v>1.1777700000000002</v>
      </c>
      <c r="AM31" s="283">
        <f t="shared" si="91"/>
        <v>0.58937099627679923</v>
      </c>
      <c r="AN31" s="284">
        <f t="shared" si="92"/>
        <v>4.1624473226880898E-2</v>
      </c>
      <c r="AO31" s="82">
        <v>1.0562009999999999</v>
      </c>
      <c r="AP31" s="283">
        <f t="shared" si="93"/>
        <v>-0.10321964390330896</v>
      </c>
      <c r="AQ31" s="285">
        <f t="shared" si="94"/>
        <v>-0.30708885091140514</v>
      </c>
      <c r="AR31" s="81">
        <v>1.788149</v>
      </c>
      <c r="AS31" s="283">
        <f t="shared" si="95"/>
        <v>0.69300066938016536</v>
      </c>
      <c r="AT31" s="284">
        <f t="shared" si="96"/>
        <v>0.26370954063604235</v>
      </c>
      <c r="AU31" s="82">
        <v>1.4928510000000002</v>
      </c>
      <c r="AV31" s="283">
        <f t="shared" si="97"/>
        <v>-0.16514171917440879</v>
      </c>
      <c r="AW31" s="284">
        <f t="shared" si="98"/>
        <v>1.0145648820761406</v>
      </c>
      <c r="AX31" s="82">
        <v>1.9449350000000001</v>
      </c>
      <c r="AY31" s="283">
        <f t="shared" si="99"/>
        <v>0.30283263366538238</v>
      </c>
      <c r="AZ31" s="284">
        <f t="shared" si="100"/>
        <v>0.65137081093931726</v>
      </c>
      <c r="BA31" s="82">
        <v>2.0170000000000003</v>
      </c>
      <c r="BB31" s="283">
        <f t="shared" si="101"/>
        <v>3.7052652145187492E-2</v>
      </c>
      <c r="BC31" s="285">
        <f t="shared" si="102"/>
        <v>0.90967438962848979</v>
      </c>
      <c r="BD31" s="81">
        <v>2</v>
      </c>
      <c r="BE31" s="283">
        <f t="shared" si="103"/>
        <v>-8.4283589489342337E-3</v>
      </c>
      <c r="BF31" s="284">
        <f t="shared" si="104"/>
        <v>0.11847502640999164</v>
      </c>
      <c r="BG31" s="82">
        <v>2.2999999999999998</v>
      </c>
      <c r="BH31" s="283">
        <f t="shared" si="105"/>
        <v>0.14999999999999991</v>
      </c>
      <c r="BI31" s="284">
        <f t="shared" si="106"/>
        <v>0.54067619608386885</v>
      </c>
      <c r="BJ31" s="82">
        <v>1.5</v>
      </c>
      <c r="BK31" s="283">
        <f t="shared" si="107"/>
        <v>-0.34782608695652173</v>
      </c>
      <c r="BL31" s="284">
        <f t="shared" si="108"/>
        <v>-0.22876599989202728</v>
      </c>
      <c r="BM31" s="82">
        <v>2.0430000000000001</v>
      </c>
      <c r="BN31" s="283">
        <f t="shared" si="109"/>
        <v>0.3620000000000001</v>
      </c>
      <c r="BO31" s="285">
        <f t="shared" si="110"/>
        <v>1.2890431333663743E-2</v>
      </c>
      <c r="BP31" s="81">
        <f t="shared" ref="BP31" si="136">BP32+BP33</f>
        <v>1.1678999999999999</v>
      </c>
      <c r="BQ31" s="283">
        <f t="shared" si="112"/>
        <v>-0.42834067547723942</v>
      </c>
      <c r="BR31" s="284">
        <f t="shared" si="113"/>
        <v>-0.41605000000000003</v>
      </c>
      <c r="BS31" s="82">
        <f t="shared" ref="BS31" si="137">BS32+BS33</f>
        <v>1.532</v>
      </c>
      <c r="BT31" s="283">
        <f t="shared" si="115"/>
        <v>0.31175614350543723</v>
      </c>
      <c r="BU31" s="284">
        <f t="shared" si="116"/>
        <v>-0.33391304347826078</v>
      </c>
      <c r="BV31" s="82">
        <f t="shared" ref="BV31" si="138">BV32+BV33</f>
        <v>0.88100000000000001</v>
      </c>
      <c r="BW31" s="283">
        <f t="shared" si="118"/>
        <v>-0.42493472584856395</v>
      </c>
      <c r="BX31" s="284">
        <f t="shared" si="119"/>
        <v>-0.41266666666666663</v>
      </c>
      <c r="BY31" s="82">
        <f t="shared" ref="BY31" si="139">BY32+BY33</f>
        <v>1.5119999999999998</v>
      </c>
      <c r="BZ31" s="283">
        <f t="shared" si="121"/>
        <v>0.71623155505107805</v>
      </c>
      <c r="CA31" s="285">
        <f t="shared" si="122"/>
        <v>-0.25991189427312789</v>
      </c>
      <c r="CB31" s="81">
        <f t="shared" ref="CB31" si="140">CB32+CB33</f>
        <v>1.4100000000000001</v>
      </c>
      <c r="CC31" s="283">
        <f t="shared" si="124"/>
        <v>-6.7460317460317221E-2</v>
      </c>
      <c r="CD31" s="284">
        <f t="shared" si="125"/>
        <v>0.20729514513228886</v>
      </c>
      <c r="CE31" s="82">
        <f t="shared" ref="CE31" si="141">CE32+CE33</f>
        <v>0.99449999999999994</v>
      </c>
      <c r="CF31" s="283">
        <f t="shared" si="127"/>
        <v>-0.29468085106382991</v>
      </c>
      <c r="CG31" s="284">
        <f t="shared" si="128"/>
        <v>-0.35084856396866848</v>
      </c>
      <c r="CH31" s="82">
        <f>CH32+CH33</f>
        <v>1.1950000000000001</v>
      </c>
      <c r="CI31" s="283">
        <f t="shared" si="129"/>
        <v>0.20160884866767237</v>
      </c>
      <c r="CJ31" s="284">
        <f t="shared" si="130"/>
        <v>0.35641316685584568</v>
      </c>
      <c r="CK31" s="82">
        <f t="shared" ref="CK31" si="142">CK32+CK33</f>
        <v>1.288845</v>
      </c>
      <c r="CL31" s="283">
        <f t="shared" si="135"/>
        <v>7.8531380753138036E-2</v>
      </c>
      <c r="CM31" s="285">
        <f t="shared" si="133"/>
        <v>-0.14758928571428553</v>
      </c>
      <c r="CN31" s="74"/>
    </row>
    <row r="32" spans="1:92" s="89" customFormat="1" ht="16.2" customHeight="1" x14ac:dyDescent="0.4">
      <c r="A32" s="156">
        <f t="shared" si="134"/>
        <v>6</v>
      </c>
      <c r="B32" s="83" t="s">
        <v>204</v>
      </c>
      <c r="C32" s="84" t="s">
        <v>406</v>
      </c>
      <c r="D32" s="286">
        <v>0.56999999999999995</v>
      </c>
      <c r="E32" s="287">
        <v>0.91</v>
      </c>
      <c r="F32" s="287">
        <v>0.69</v>
      </c>
      <c r="G32" s="288">
        <v>0.83400000000000007</v>
      </c>
      <c r="H32" s="289">
        <v>0.63</v>
      </c>
      <c r="I32" s="251">
        <f t="shared" si="71"/>
        <v>-0.24460431654676262</v>
      </c>
      <c r="J32" s="252">
        <f t="shared" si="72"/>
        <v>0.10526315789473695</v>
      </c>
      <c r="K32" s="290">
        <v>0.76</v>
      </c>
      <c r="L32" s="251">
        <f t="shared" si="73"/>
        <v>0.20634920634920628</v>
      </c>
      <c r="M32" s="252">
        <f t="shared" si="74"/>
        <v>-0.1648351648351648</v>
      </c>
      <c r="N32" s="290">
        <v>1.1100000000000001</v>
      </c>
      <c r="O32" s="251">
        <f t="shared" si="75"/>
        <v>0.46052631578947389</v>
      </c>
      <c r="P32" s="252">
        <f t="shared" si="76"/>
        <v>0.6086956521739133</v>
      </c>
      <c r="Q32" s="290">
        <v>1.4360000000000002</v>
      </c>
      <c r="R32" s="251">
        <f t="shared" si="77"/>
        <v>0.2936936936936938</v>
      </c>
      <c r="S32" s="253">
        <f t="shared" si="78"/>
        <v>0.72182254196642681</v>
      </c>
      <c r="T32" s="289">
        <v>1.7</v>
      </c>
      <c r="U32" s="251">
        <f t="shared" si="79"/>
        <v>0.18384401114206117</v>
      </c>
      <c r="V32" s="252">
        <f t="shared" si="80"/>
        <v>1.6984126984126982</v>
      </c>
      <c r="W32" s="290">
        <v>1.5559999999999998</v>
      </c>
      <c r="X32" s="251">
        <f t="shared" si="81"/>
        <v>-8.4705882352941297E-2</v>
      </c>
      <c r="Y32" s="252">
        <f t="shared" si="82"/>
        <v>1.0473684210526315</v>
      </c>
      <c r="Z32" s="290">
        <v>0.87579599999999957</v>
      </c>
      <c r="AA32" s="251">
        <f t="shared" si="83"/>
        <v>-0.43714910025706966</v>
      </c>
      <c r="AB32" s="252">
        <f t="shared" si="84"/>
        <v>-0.21099459459459502</v>
      </c>
      <c r="AC32" s="290">
        <v>1.2802040000000006</v>
      </c>
      <c r="AD32" s="251">
        <f t="shared" si="85"/>
        <v>0.46176050130395807</v>
      </c>
      <c r="AE32" s="253">
        <f t="shared" si="86"/>
        <v>-0.10849303621169892</v>
      </c>
      <c r="AF32" s="289">
        <v>1.292</v>
      </c>
      <c r="AG32" s="251">
        <f t="shared" si="87"/>
        <v>9.214156493808412E-3</v>
      </c>
      <c r="AH32" s="252">
        <f t="shared" si="88"/>
        <v>-0.24</v>
      </c>
      <c r="AI32" s="290">
        <v>0.40275599999999989</v>
      </c>
      <c r="AJ32" s="251">
        <f t="shared" si="89"/>
        <v>-0.68826934984520127</v>
      </c>
      <c r="AK32" s="252">
        <f t="shared" si="90"/>
        <v>-0.74115938303341911</v>
      </c>
      <c r="AL32" s="290">
        <v>0.88955200000000012</v>
      </c>
      <c r="AM32" s="251">
        <f t="shared" si="91"/>
        <v>1.2086623166383625</v>
      </c>
      <c r="AN32" s="252">
        <f t="shared" si="92"/>
        <v>1.5706854107578216E-2</v>
      </c>
      <c r="AO32" s="290">
        <v>0.973692</v>
      </c>
      <c r="AP32" s="251">
        <f t="shared" si="93"/>
        <v>9.4586938144144428E-2</v>
      </c>
      <c r="AQ32" s="253">
        <f t="shared" si="94"/>
        <v>-0.23942434174553462</v>
      </c>
      <c r="AR32" s="289">
        <v>1.6153310000000001</v>
      </c>
      <c r="AS32" s="251">
        <f t="shared" si="95"/>
        <v>0.65897532279201232</v>
      </c>
      <c r="AT32" s="252">
        <f t="shared" si="96"/>
        <v>0.25025619195046445</v>
      </c>
      <c r="AU32" s="290">
        <v>1.1492799999999999</v>
      </c>
      <c r="AV32" s="251">
        <f t="shared" si="97"/>
        <v>-0.28851733793259726</v>
      </c>
      <c r="AW32" s="252">
        <f t="shared" si="98"/>
        <v>1.8535391154942449</v>
      </c>
      <c r="AX32" s="290">
        <v>1.802389</v>
      </c>
      <c r="AY32" s="251">
        <f t="shared" si="99"/>
        <v>0.56827666016984568</v>
      </c>
      <c r="AZ32" s="252">
        <f t="shared" si="100"/>
        <v>1.0261760976311667</v>
      </c>
      <c r="BA32" s="290">
        <v>1.8540000000000003</v>
      </c>
      <c r="BB32" s="251">
        <f t="shared" si="101"/>
        <v>2.8634773070630226E-2</v>
      </c>
      <c r="BC32" s="253">
        <f t="shared" si="102"/>
        <v>0.90409287536510541</v>
      </c>
      <c r="BD32" s="289">
        <v>1.9</v>
      </c>
      <c r="BE32" s="251">
        <f t="shared" si="103"/>
        <v>2.4811218985975936E-2</v>
      </c>
      <c r="BF32" s="252">
        <f t="shared" si="104"/>
        <v>0.176229515808215</v>
      </c>
      <c r="BG32" s="290">
        <v>2.1</v>
      </c>
      <c r="BH32" s="251">
        <f t="shared" si="105"/>
        <v>0.10526315789473695</v>
      </c>
      <c r="BI32" s="252">
        <f t="shared" si="106"/>
        <v>0.82723096199359625</v>
      </c>
      <c r="BJ32" s="290">
        <v>1.4</v>
      </c>
      <c r="BK32" s="251">
        <f t="shared" si="107"/>
        <v>-0.33333333333333337</v>
      </c>
      <c r="BL32" s="252">
        <f t="shared" si="108"/>
        <v>-0.22325313791861812</v>
      </c>
      <c r="BM32" s="290">
        <v>1.9690000000000001</v>
      </c>
      <c r="BN32" s="251">
        <f t="shared" si="109"/>
        <v>0.40642857142857158</v>
      </c>
      <c r="BO32" s="253">
        <f t="shared" si="110"/>
        <v>6.2028047464940617E-2</v>
      </c>
      <c r="BP32" s="289">
        <v>1.0419</v>
      </c>
      <c r="BQ32" s="251">
        <f t="shared" si="112"/>
        <v>-0.47084814626714067</v>
      </c>
      <c r="BR32" s="252">
        <f t="shared" si="113"/>
        <v>-0.45163157894736838</v>
      </c>
      <c r="BS32" s="290">
        <v>1.407</v>
      </c>
      <c r="BT32" s="251">
        <f t="shared" si="115"/>
        <v>0.35041750647854886</v>
      </c>
      <c r="BU32" s="252">
        <f t="shared" si="116"/>
        <v>-0.32999999999999996</v>
      </c>
      <c r="BV32" s="290">
        <v>0.81699999999999995</v>
      </c>
      <c r="BW32" s="251">
        <f t="shared" si="118"/>
        <v>-0.41933191186922536</v>
      </c>
      <c r="BX32" s="252">
        <f t="shared" si="119"/>
        <v>-0.41642857142857148</v>
      </c>
      <c r="BY32" s="290">
        <v>1.5029999999999999</v>
      </c>
      <c r="BZ32" s="251">
        <f t="shared" si="121"/>
        <v>0.83965728274173812</v>
      </c>
      <c r="CA32" s="253">
        <f t="shared" si="122"/>
        <v>-0.23666835957338761</v>
      </c>
      <c r="CB32" s="289">
        <v>1.34</v>
      </c>
      <c r="CC32" s="251">
        <f t="shared" si="124"/>
        <v>-0.10844976713240173</v>
      </c>
      <c r="CD32" s="252">
        <f t="shared" si="125"/>
        <v>0.28611191093195121</v>
      </c>
      <c r="CE32" s="290">
        <v>0.9355</v>
      </c>
      <c r="CF32" s="251">
        <f t="shared" si="127"/>
        <v>-0.30186567164179112</v>
      </c>
      <c r="CG32" s="252">
        <f t="shared" si="128"/>
        <v>-0.33511016346837241</v>
      </c>
      <c r="CH32" s="290">
        <v>1.1180000000000001</v>
      </c>
      <c r="CI32" s="251">
        <f t="shared" si="129"/>
        <v>0.19508284339925175</v>
      </c>
      <c r="CJ32" s="252">
        <f t="shared" si="130"/>
        <v>0.3684210526315792</v>
      </c>
      <c r="CK32" s="290">
        <v>1.1288450000000001</v>
      </c>
      <c r="CL32" s="251">
        <f t="shared" si="135"/>
        <v>9.700357781753155E-3</v>
      </c>
      <c r="CM32" s="253">
        <f t="shared" si="133"/>
        <v>-0.24893878908848954</v>
      </c>
      <c r="CN32" s="74"/>
    </row>
    <row r="33" spans="1:93" s="89" customFormat="1" ht="16.2" customHeight="1" x14ac:dyDescent="0.4">
      <c r="A33" s="156">
        <f t="shared" si="134"/>
        <v>7</v>
      </c>
      <c r="B33" s="83" t="s">
        <v>205</v>
      </c>
      <c r="C33" s="84" t="s">
        <v>407</v>
      </c>
      <c r="D33" s="286">
        <v>0.05</v>
      </c>
      <c r="E33" s="287">
        <v>0.1</v>
      </c>
      <c r="F33" s="287">
        <v>0.46</v>
      </c>
      <c r="G33" s="288">
        <v>0.25999999999999995</v>
      </c>
      <c r="H33" s="289">
        <v>0.37</v>
      </c>
      <c r="I33" s="251">
        <f t="shared" si="71"/>
        <v>0.42307692307692335</v>
      </c>
      <c r="J33" s="252">
        <f t="shared" si="72"/>
        <v>6.3999999999999995</v>
      </c>
      <c r="K33" s="290">
        <v>0.42</v>
      </c>
      <c r="L33" s="251">
        <f t="shared" si="73"/>
        <v>0.13513513513513509</v>
      </c>
      <c r="M33" s="252">
        <f t="shared" si="74"/>
        <v>3.1999999999999993</v>
      </c>
      <c r="N33" s="290">
        <v>0.35</v>
      </c>
      <c r="O33" s="251">
        <f t="shared" si="75"/>
        <v>-0.16666666666666674</v>
      </c>
      <c r="P33" s="252">
        <f t="shared" si="76"/>
        <v>-0.23913043478260876</v>
      </c>
      <c r="Q33" s="290">
        <v>0.29199999999999993</v>
      </c>
      <c r="R33" s="251">
        <f t="shared" si="77"/>
        <v>-0.16571428571428592</v>
      </c>
      <c r="S33" s="253">
        <f t="shared" si="78"/>
        <v>0.12307692307692308</v>
      </c>
      <c r="T33" s="289">
        <v>0.30099999999999999</v>
      </c>
      <c r="U33" s="251">
        <f t="shared" si="79"/>
        <v>3.0821917808219412E-2</v>
      </c>
      <c r="V33" s="252">
        <f t="shared" si="80"/>
        <v>-0.18648648648648647</v>
      </c>
      <c r="W33" s="290">
        <v>0.37300000000000005</v>
      </c>
      <c r="X33" s="251">
        <f t="shared" si="81"/>
        <v>0.2392026578073092</v>
      </c>
      <c r="Y33" s="252">
        <f t="shared" si="82"/>
        <v>-0.11190476190476173</v>
      </c>
      <c r="Z33" s="290">
        <v>0.2</v>
      </c>
      <c r="AA33" s="251">
        <f t="shared" si="83"/>
        <v>-0.46380697050938346</v>
      </c>
      <c r="AB33" s="252">
        <f t="shared" si="84"/>
        <v>-0.42857142857142849</v>
      </c>
      <c r="AC33" s="290">
        <v>0.3</v>
      </c>
      <c r="AD33" s="251">
        <f t="shared" si="85"/>
        <v>0.49999999999999978</v>
      </c>
      <c r="AE33" s="253">
        <f t="shared" si="86"/>
        <v>2.7397260273972934E-2</v>
      </c>
      <c r="AF33" s="289">
        <v>0.123</v>
      </c>
      <c r="AG33" s="251">
        <f t="shared" si="87"/>
        <v>-0.59</v>
      </c>
      <c r="AH33" s="252">
        <f t="shared" si="88"/>
        <v>-0.59136212624584716</v>
      </c>
      <c r="AI33" s="290">
        <v>0.33827299999999999</v>
      </c>
      <c r="AJ33" s="251">
        <f t="shared" si="89"/>
        <v>1.7501869918699184</v>
      </c>
      <c r="AK33" s="252">
        <f t="shared" si="90"/>
        <v>-9.3101876675603323E-2</v>
      </c>
      <c r="AL33" s="290">
        <v>0.28821800000000003</v>
      </c>
      <c r="AM33" s="251">
        <f t="shared" si="91"/>
        <v>-0.14797219996866429</v>
      </c>
      <c r="AN33" s="252">
        <f t="shared" si="92"/>
        <v>0.44108999999999998</v>
      </c>
      <c r="AO33" s="290">
        <v>8.2508999999999943E-2</v>
      </c>
      <c r="AP33" s="251">
        <f t="shared" si="93"/>
        <v>-0.71372710934084638</v>
      </c>
      <c r="AQ33" s="253">
        <f t="shared" si="94"/>
        <v>-0.72497000000000011</v>
      </c>
      <c r="AR33" s="289">
        <v>0.172818</v>
      </c>
      <c r="AS33" s="251">
        <f t="shared" si="95"/>
        <v>1.0945351416209155</v>
      </c>
      <c r="AT33" s="252">
        <f t="shared" si="96"/>
        <v>0.40502439024390235</v>
      </c>
      <c r="AU33" s="290">
        <v>0.34363599999999994</v>
      </c>
      <c r="AV33" s="251">
        <f t="shared" si="97"/>
        <v>0.98842713143306793</v>
      </c>
      <c r="AW33" s="252">
        <f t="shared" si="98"/>
        <v>1.5854058704064311E-2</v>
      </c>
      <c r="AX33" s="290">
        <v>0.14254600000000009</v>
      </c>
      <c r="AY33" s="251">
        <f t="shared" si="99"/>
        <v>-0.58518315892397732</v>
      </c>
      <c r="AZ33" s="252">
        <f t="shared" si="100"/>
        <v>-0.50542297843993067</v>
      </c>
      <c r="BA33" s="290">
        <v>0.16299999999999995</v>
      </c>
      <c r="BB33" s="251">
        <f t="shared" si="101"/>
        <v>0.14349052235769411</v>
      </c>
      <c r="BC33" s="253">
        <f t="shared" si="102"/>
        <v>0.97554206207807703</v>
      </c>
      <c r="BD33" s="289">
        <v>0.1</v>
      </c>
      <c r="BE33" s="251">
        <f t="shared" si="103"/>
        <v>-0.38650306748466234</v>
      </c>
      <c r="BF33" s="252">
        <f t="shared" si="104"/>
        <v>-0.42135657165341567</v>
      </c>
      <c r="BG33" s="290">
        <v>0.2</v>
      </c>
      <c r="BH33" s="251">
        <f t="shared" si="105"/>
        <v>1</v>
      </c>
      <c r="BI33" s="252">
        <f t="shared" si="106"/>
        <v>-0.41798880210455236</v>
      </c>
      <c r="BJ33" s="290">
        <v>0.1</v>
      </c>
      <c r="BK33" s="251">
        <f t="shared" si="107"/>
        <v>-0.5</v>
      </c>
      <c r="BL33" s="252">
        <f t="shared" si="108"/>
        <v>-0.2984720721731936</v>
      </c>
      <c r="BM33" s="290">
        <v>7.4000000000000066E-2</v>
      </c>
      <c r="BN33" s="251">
        <f t="shared" si="109"/>
        <v>-0.25999999999999934</v>
      </c>
      <c r="BO33" s="253">
        <f t="shared" si="110"/>
        <v>-0.54601226993864982</v>
      </c>
      <c r="BP33" s="289">
        <v>0.126</v>
      </c>
      <c r="BQ33" s="251">
        <f t="shared" si="112"/>
        <v>0.7027027027027013</v>
      </c>
      <c r="BR33" s="252">
        <f t="shared" si="113"/>
        <v>0.26</v>
      </c>
      <c r="BS33" s="290">
        <v>0.125</v>
      </c>
      <c r="BT33" s="251">
        <f t="shared" si="115"/>
        <v>-7.9365079365079083E-3</v>
      </c>
      <c r="BU33" s="252">
        <f t="shared" si="116"/>
        <v>-0.375</v>
      </c>
      <c r="BV33" s="290">
        <v>6.4000000000000001E-2</v>
      </c>
      <c r="BW33" s="251">
        <f t="shared" si="118"/>
        <v>-0.48799999999999999</v>
      </c>
      <c r="BX33" s="252">
        <f t="shared" si="119"/>
        <v>-0.36</v>
      </c>
      <c r="BY33" s="634">
        <v>8.9999999999999993E-3</v>
      </c>
      <c r="BZ33" s="251">
        <f t="shared" si="121"/>
        <v>-0.859375</v>
      </c>
      <c r="CA33" s="253">
        <f t="shared" si="122"/>
        <v>-0.87837837837837851</v>
      </c>
      <c r="CB33" s="289">
        <v>7.0000000000000007E-2</v>
      </c>
      <c r="CC33" s="251">
        <f t="shared" si="124"/>
        <v>6.7777777777777795</v>
      </c>
      <c r="CD33" s="252">
        <f t="shared" si="125"/>
        <v>-0.44444444444444442</v>
      </c>
      <c r="CE33" s="290">
        <v>5.8999999999999997E-2</v>
      </c>
      <c r="CF33" s="251">
        <f t="shared" si="127"/>
        <v>-0.15714285714285725</v>
      </c>
      <c r="CG33" s="252">
        <f t="shared" si="128"/>
        <v>-0.52800000000000002</v>
      </c>
      <c r="CH33" s="290">
        <v>7.6999999999999999E-2</v>
      </c>
      <c r="CI33" s="251">
        <f t="shared" si="129"/>
        <v>0.30508474576271194</v>
      </c>
      <c r="CJ33" s="252">
        <f t="shared" si="130"/>
        <v>0.203125</v>
      </c>
      <c r="CK33" s="290">
        <v>0.16</v>
      </c>
      <c r="CL33" s="251">
        <f t="shared" si="135"/>
        <v>1.0779220779220782</v>
      </c>
      <c r="CM33" s="253">
        <f t="shared" si="133"/>
        <v>16.777777777777779</v>
      </c>
      <c r="CN33" s="74"/>
    </row>
    <row r="34" spans="1:93" s="21" customFormat="1" ht="16.2" customHeight="1" x14ac:dyDescent="0.4">
      <c r="A34" s="156">
        <f t="shared" si="134"/>
        <v>8</v>
      </c>
      <c r="B34" s="76" t="s">
        <v>206</v>
      </c>
      <c r="C34" s="77" t="s">
        <v>355</v>
      </c>
      <c r="D34" s="78">
        <v>1.92</v>
      </c>
      <c r="E34" s="79">
        <v>2.78</v>
      </c>
      <c r="F34" s="79">
        <v>2.73</v>
      </c>
      <c r="G34" s="80">
        <v>1.797000000000001</v>
      </c>
      <c r="H34" s="81">
        <v>3.08</v>
      </c>
      <c r="I34" s="283">
        <f t="shared" si="71"/>
        <v>0.71396772398441755</v>
      </c>
      <c r="J34" s="284">
        <f t="shared" si="72"/>
        <v>0.60416666666666674</v>
      </c>
      <c r="K34" s="82">
        <v>3.62</v>
      </c>
      <c r="L34" s="283">
        <f t="shared" si="73"/>
        <v>0.17532467532467533</v>
      </c>
      <c r="M34" s="284">
        <f t="shared" si="74"/>
        <v>0.30215827338129508</v>
      </c>
      <c r="N34" s="82">
        <v>4.2699999999999996</v>
      </c>
      <c r="O34" s="283">
        <f t="shared" si="75"/>
        <v>0.17955801104972369</v>
      </c>
      <c r="P34" s="284">
        <f t="shared" si="76"/>
        <v>0.56410256410256387</v>
      </c>
      <c r="Q34" s="82">
        <v>4.6946000000000012</v>
      </c>
      <c r="R34" s="283">
        <f t="shared" si="77"/>
        <v>9.9437939110070594E-2</v>
      </c>
      <c r="S34" s="285">
        <f t="shared" si="78"/>
        <v>1.6124652198107947</v>
      </c>
      <c r="T34" s="81">
        <v>6.6509999999999998</v>
      </c>
      <c r="U34" s="283">
        <f t="shared" si="79"/>
        <v>0.41673412005282628</v>
      </c>
      <c r="V34" s="284">
        <f t="shared" si="80"/>
        <v>1.1594155844155845</v>
      </c>
      <c r="W34" s="82">
        <v>8.3460000000000001</v>
      </c>
      <c r="X34" s="283">
        <f t="shared" si="81"/>
        <v>0.25484889490302209</v>
      </c>
      <c r="Y34" s="284">
        <f t="shared" si="82"/>
        <v>1.3055248618784532</v>
      </c>
      <c r="Z34" s="82">
        <v>10.034600000000001</v>
      </c>
      <c r="AA34" s="283">
        <f t="shared" si="83"/>
        <v>0.20232446681044824</v>
      </c>
      <c r="AB34" s="284">
        <f t="shared" si="84"/>
        <v>1.3500234192037475</v>
      </c>
      <c r="AC34" s="82">
        <v>9.9734000000000016</v>
      </c>
      <c r="AD34" s="283">
        <f t="shared" si="85"/>
        <v>-6.0988978135649852E-3</v>
      </c>
      <c r="AE34" s="285">
        <f t="shared" si="86"/>
        <v>1.1244408469305158</v>
      </c>
      <c r="AF34" s="81">
        <v>10.49</v>
      </c>
      <c r="AG34" s="283">
        <f t="shared" si="87"/>
        <v>5.1797782100386991E-2</v>
      </c>
      <c r="AH34" s="284">
        <f t="shared" si="88"/>
        <v>0.57720643512253811</v>
      </c>
      <c r="AI34" s="82">
        <v>7.5814890000000004</v>
      </c>
      <c r="AJ34" s="283">
        <f t="shared" si="89"/>
        <v>-0.27726510962821738</v>
      </c>
      <c r="AK34" s="284">
        <f t="shared" si="90"/>
        <v>-9.1602084831056807E-2</v>
      </c>
      <c r="AL34" s="82">
        <v>9.8859439999999985</v>
      </c>
      <c r="AM34" s="283">
        <f t="shared" si="91"/>
        <v>0.30395810110652377</v>
      </c>
      <c r="AN34" s="284">
        <f t="shared" si="92"/>
        <v>-1.4814342375381484E-2</v>
      </c>
      <c r="AO34" s="82">
        <v>9.7895670000000017</v>
      </c>
      <c r="AP34" s="283">
        <f t="shared" si="93"/>
        <v>-9.7488919621633308E-3</v>
      </c>
      <c r="AQ34" s="285">
        <f t="shared" si="94"/>
        <v>-1.8432329997794095E-2</v>
      </c>
      <c r="AR34" s="81">
        <v>10.10093</v>
      </c>
      <c r="AS34" s="283">
        <f t="shared" si="95"/>
        <v>3.1805594670325954E-2</v>
      </c>
      <c r="AT34" s="284">
        <f t="shared" si="96"/>
        <v>-3.7089609151573E-2</v>
      </c>
      <c r="AU34" s="82">
        <v>11.03007</v>
      </c>
      <c r="AV34" s="283">
        <f t="shared" si="97"/>
        <v>9.1985589445724436E-2</v>
      </c>
      <c r="AW34" s="284">
        <f t="shared" si="98"/>
        <v>0.45486856209908111</v>
      </c>
      <c r="AX34" s="82">
        <v>11.527940999999998</v>
      </c>
      <c r="AY34" s="283">
        <f t="shared" si="99"/>
        <v>4.5137610187423904E-2</v>
      </c>
      <c r="AZ34" s="284">
        <f t="shared" si="100"/>
        <v>0.16609410290003668</v>
      </c>
      <c r="BA34" s="82">
        <v>12.658999999999999</v>
      </c>
      <c r="BB34" s="283">
        <f t="shared" si="101"/>
        <v>9.8114572238008568E-2</v>
      </c>
      <c r="BC34" s="285">
        <f t="shared" si="102"/>
        <v>0.29311132964307784</v>
      </c>
      <c r="BD34" s="81">
        <v>11.8</v>
      </c>
      <c r="BE34" s="283">
        <f t="shared" si="103"/>
        <v>-6.7856860731495217E-2</v>
      </c>
      <c r="BF34" s="284">
        <f t="shared" si="104"/>
        <v>0.16820926389946278</v>
      </c>
      <c r="BG34" s="82">
        <v>12</v>
      </c>
      <c r="BH34" s="283">
        <f t="shared" si="105"/>
        <v>1.6949152542372836E-2</v>
      </c>
      <c r="BI34" s="284">
        <f t="shared" si="106"/>
        <v>8.793507203490103E-2</v>
      </c>
      <c r="BJ34" s="82">
        <v>15.3</v>
      </c>
      <c r="BK34" s="283">
        <f t="shared" si="107"/>
        <v>0.27500000000000013</v>
      </c>
      <c r="BL34" s="284">
        <f t="shared" si="108"/>
        <v>0.32721012364653879</v>
      </c>
      <c r="BM34" s="82">
        <v>16.608000000000001</v>
      </c>
      <c r="BN34" s="283">
        <f t="shared" si="109"/>
        <v>8.5490196078431335E-2</v>
      </c>
      <c r="BO34" s="285">
        <f t="shared" si="110"/>
        <v>0.31195197092977334</v>
      </c>
      <c r="BP34" s="81">
        <f t="shared" ref="BP34" si="143">BP35+BP36</f>
        <v>18.686</v>
      </c>
      <c r="BQ34" s="283">
        <f t="shared" si="112"/>
        <v>0.12512042389210021</v>
      </c>
      <c r="BR34" s="284">
        <f t="shared" si="113"/>
        <v>0.58355932203389815</v>
      </c>
      <c r="BS34" s="82">
        <f t="shared" ref="BS34" si="144">BS35+BS36</f>
        <v>21.773000000000003</v>
      </c>
      <c r="BT34" s="283">
        <f t="shared" si="115"/>
        <v>0.1652038959648936</v>
      </c>
      <c r="BU34" s="284">
        <f t="shared" si="116"/>
        <v>0.81441666666666701</v>
      </c>
      <c r="BV34" s="82">
        <f t="shared" ref="BV34" si="145">BV35+BV36</f>
        <v>20.497999999999998</v>
      </c>
      <c r="BW34" s="283">
        <f t="shared" si="118"/>
        <v>-5.8558765443439409E-2</v>
      </c>
      <c r="BX34" s="284">
        <f t="shared" si="119"/>
        <v>0.33973856209150299</v>
      </c>
      <c r="BY34" s="82">
        <f t="shared" ref="BY34" si="146">BY35+BY36</f>
        <v>20.085999999999999</v>
      </c>
      <c r="BZ34" s="283">
        <f t="shared" si="121"/>
        <v>-2.0099521904575979E-2</v>
      </c>
      <c r="CA34" s="285">
        <f t="shared" si="122"/>
        <v>0.20941714836223491</v>
      </c>
      <c r="CB34" s="81">
        <f t="shared" ref="CB34" si="147">CB35+CB36</f>
        <v>26.481000000000002</v>
      </c>
      <c r="CC34" s="283">
        <f t="shared" si="124"/>
        <v>0.31838096186398501</v>
      </c>
      <c r="CD34" s="284">
        <f t="shared" si="125"/>
        <v>0.41715723001177363</v>
      </c>
      <c r="CE34" s="82">
        <f>CE35+CE36</f>
        <v>26.064999999999998</v>
      </c>
      <c r="CF34" s="283">
        <f t="shared" si="127"/>
        <v>-1.5709376534118968E-2</v>
      </c>
      <c r="CG34" s="284">
        <f t="shared" si="128"/>
        <v>0.19712487943783552</v>
      </c>
      <c r="CH34" s="82">
        <f t="shared" ref="CH34" si="148">CH35+CH36</f>
        <v>25.634999999999998</v>
      </c>
      <c r="CI34" s="283">
        <f t="shared" si="129"/>
        <v>-1.6497218492230958E-2</v>
      </c>
      <c r="CJ34" s="284">
        <f t="shared" si="130"/>
        <v>0.25060981559176509</v>
      </c>
      <c r="CK34" s="82">
        <f t="shared" ref="CK34" si="149">CK35+CK36</f>
        <v>31.288724999999999</v>
      </c>
      <c r="CL34" s="283">
        <f t="shared" si="135"/>
        <v>0.22054710356933893</v>
      </c>
      <c r="CM34" s="285">
        <f t="shared" si="133"/>
        <v>0.55773797670018932</v>
      </c>
      <c r="CN34" s="74"/>
    </row>
    <row r="35" spans="1:93" s="89" customFormat="1" ht="16.2" customHeight="1" x14ac:dyDescent="0.4">
      <c r="A35" s="156">
        <f t="shared" si="134"/>
        <v>9</v>
      </c>
      <c r="B35" s="83" t="s">
        <v>204</v>
      </c>
      <c r="C35" s="84" t="s">
        <v>406</v>
      </c>
      <c r="D35" s="286">
        <v>1.35</v>
      </c>
      <c r="E35" s="287">
        <v>2.08</v>
      </c>
      <c r="F35" s="287">
        <v>1.93</v>
      </c>
      <c r="G35" s="288">
        <v>0.87400000000000033</v>
      </c>
      <c r="H35" s="289">
        <v>1.95</v>
      </c>
      <c r="I35" s="251">
        <f t="shared" si="71"/>
        <v>1.2311212814645298</v>
      </c>
      <c r="J35" s="252">
        <f t="shared" si="72"/>
        <v>0.44444444444444442</v>
      </c>
      <c r="K35" s="290">
        <v>2.25</v>
      </c>
      <c r="L35" s="251">
        <f t="shared" si="73"/>
        <v>0.15384615384615397</v>
      </c>
      <c r="M35" s="252">
        <f t="shared" si="74"/>
        <v>8.1730769230769162E-2</v>
      </c>
      <c r="N35" s="290">
        <v>2.12</v>
      </c>
      <c r="O35" s="251">
        <f t="shared" si="75"/>
        <v>-5.7777777777777706E-2</v>
      </c>
      <c r="P35" s="252">
        <f t="shared" si="76"/>
        <v>9.8445595854922407E-2</v>
      </c>
      <c r="Q35" s="290">
        <v>1.5065999999999997</v>
      </c>
      <c r="R35" s="251">
        <f t="shared" si="77"/>
        <v>-0.28933962264150959</v>
      </c>
      <c r="S35" s="253">
        <f t="shared" si="78"/>
        <v>0.72379862700228736</v>
      </c>
      <c r="T35" s="289">
        <v>2.6219999999999999</v>
      </c>
      <c r="U35" s="251">
        <f t="shared" si="79"/>
        <v>0.74034249303066524</v>
      </c>
      <c r="V35" s="252">
        <f t="shared" si="80"/>
        <v>0.34461538461538455</v>
      </c>
      <c r="W35" s="290">
        <v>3.5940000000000003</v>
      </c>
      <c r="X35" s="251">
        <f t="shared" si="81"/>
        <v>0.37070938215102989</v>
      </c>
      <c r="Y35" s="252">
        <f t="shared" si="82"/>
        <v>0.59733333333333349</v>
      </c>
      <c r="Z35" s="290">
        <v>4.829669</v>
      </c>
      <c r="AA35" s="251">
        <f t="shared" si="83"/>
        <v>0.34381441291040615</v>
      </c>
      <c r="AB35" s="252">
        <f t="shared" si="84"/>
        <v>1.2781457547169812</v>
      </c>
      <c r="AC35" s="290">
        <v>3.5973310000000014</v>
      </c>
      <c r="AD35" s="251">
        <f t="shared" si="85"/>
        <v>-0.25515992917941144</v>
      </c>
      <c r="AE35" s="253">
        <f t="shared" si="86"/>
        <v>1.3877147218903505</v>
      </c>
      <c r="AF35" s="289">
        <v>5.48</v>
      </c>
      <c r="AG35" s="251">
        <f t="shared" si="87"/>
        <v>0.52335161818581555</v>
      </c>
      <c r="AH35" s="252">
        <f t="shared" si="88"/>
        <v>1.0900076277650652</v>
      </c>
      <c r="AI35" s="290">
        <v>2.1603789999999998</v>
      </c>
      <c r="AJ35" s="251">
        <f t="shared" si="89"/>
        <v>-0.60577025547445262</v>
      </c>
      <c r="AK35" s="252">
        <f t="shared" si="90"/>
        <v>-0.39889287701725107</v>
      </c>
      <c r="AL35" s="290">
        <v>4.5359030000000002</v>
      </c>
      <c r="AM35" s="251">
        <f t="shared" si="91"/>
        <v>1.0995866928904605</v>
      </c>
      <c r="AN35" s="252">
        <f t="shared" si="92"/>
        <v>-6.0825286370556619E-2</v>
      </c>
      <c r="AO35" s="290">
        <v>4.809718000000001</v>
      </c>
      <c r="AP35" s="251">
        <f t="shared" si="93"/>
        <v>6.0366149805231917E-2</v>
      </c>
      <c r="AQ35" s="253">
        <f t="shared" si="94"/>
        <v>0.33702403253967983</v>
      </c>
      <c r="AR35" s="289">
        <v>5.6347199999999997</v>
      </c>
      <c r="AS35" s="251">
        <f t="shared" si="95"/>
        <v>0.17152814364584335</v>
      </c>
      <c r="AT35" s="252">
        <f t="shared" si="96"/>
        <v>2.8233576642335612E-2</v>
      </c>
      <c r="AU35" s="290">
        <v>6.056381</v>
      </c>
      <c r="AV35" s="251">
        <f t="shared" si="97"/>
        <v>7.4832644745435495E-2</v>
      </c>
      <c r="AW35" s="252">
        <f t="shared" si="98"/>
        <v>1.8033882017923708</v>
      </c>
      <c r="AX35" s="290">
        <v>7.0518989999999988</v>
      </c>
      <c r="AY35" s="251">
        <f t="shared" si="99"/>
        <v>0.1643750616085744</v>
      </c>
      <c r="AZ35" s="252">
        <f t="shared" si="100"/>
        <v>0.55468470114991408</v>
      </c>
      <c r="BA35" s="290">
        <v>7.9830000000000005</v>
      </c>
      <c r="BB35" s="251">
        <f t="shared" si="101"/>
        <v>0.13203549852316399</v>
      </c>
      <c r="BC35" s="253">
        <f t="shared" si="102"/>
        <v>0.65976466811567724</v>
      </c>
      <c r="BD35" s="289">
        <v>8.3000000000000007</v>
      </c>
      <c r="BE35" s="251">
        <f t="shared" si="103"/>
        <v>3.9709382437680185E-2</v>
      </c>
      <c r="BF35" s="252">
        <f t="shared" si="104"/>
        <v>0.47301019394042676</v>
      </c>
      <c r="BG35" s="290">
        <v>7.5</v>
      </c>
      <c r="BH35" s="251">
        <f t="shared" si="105"/>
        <v>-9.6385542168674787E-2</v>
      </c>
      <c r="BI35" s="252">
        <f t="shared" si="106"/>
        <v>0.2383633064036097</v>
      </c>
      <c r="BJ35" s="290">
        <v>9.8000000000000007</v>
      </c>
      <c r="BK35" s="251">
        <f t="shared" si="107"/>
        <v>0.30666666666666687</v>
      </c>
      <c r="BL35" s="252">
        <f t="shared" si="108"/>
        <v>0.38969659094663744</v>
      </c>
      <c r="BM35" s="290">
        <v>9.0950000000000006</v>
      </c>
      <c r="BN35" s="251">
        <f t="shared" si="109"/>
        <v>-7.1938775510204112E-2</v>
      </c>
      <c r="BO35" s="253">
        <f t="shared" si="110"/>
        <v>0.13929600400851805</v>
      </c>
      <c r="BP35" s="289">
        <v>10.478</v>
      </c>
      <c r="BQ35" s="251">
        <f t="shared" si="112"/>
        <v>0.15206157229246831</v>
      </c>
      <c r="BR35" s="252">
        <f t="shared" si="113"/>
        <v>0.26240963855421673</v>
      </c>
      <c r="BS35" s="290">
        <v>13.505000000000001</v>
      </c>
      <c r="BT35" s="251">
        <f t="shared" si="115"/>
        <v>0.2888910097346824</v>
      </c>
      <c r="BU35" s="252">
        <f t="shared" si="116"/>
        <v>0.80066666666666686</v>
      </c>
      <c r="BV35" s="290">
        <v>12.16</v>
      </c>
      <c r="BW35" s="251">
        <f t="shared" si="118"/>
        <v>-9.9592743428359887E-2</v>
      </c>
      <c r="BX35" s="252">
        <f t="shared" si="119"/>
        <v>0.24081632653061225</v>
      </c>
      <c r="BY35" s="290">
        <v>11.635</v>
      </c>
      <c r="BZ35" s="251">
        <f t="shared" si="121"/>
        <v>-4.3174342105263164E-2</v>
      </c>
      <c r="CA35" s="253">
        <f t="shared" si="122"/>
        <v>0.27927432655305107</v>
      </c>
      <c r="CB35" s="289">
        <v>17.343</v>
      </c>
      <c r="CC35" s="251">
        <f t="shared" si="124"/>
        <v>0.49058874086807047</v>
      </c>
      <c r="CD35" s="252">
        <f t="shared" si="125"/>
        <v>0.65518228669593448</v>
      </c>
      <c r="CE35" s="290">
        <v>15.478</v>
      </c>
      <c r="CF35" s="251">
        <f t="shared" si="127"/>
        <v>-0.10753618174479618</v>
      </c>
      <c r="CG35" s="252">
        <f t="shared" si="128"/>
        <v>0.14609403924472408</v>
      </c>
      <c r="CH35" s="290">
        <v>13.577</v>
      </c>
      <c r="CI35" s="251">
        <f t="shared" si="129"/>
        <v>-0.12281948572166945</v>
      </c>
      <c r="CJ35" s="252">
        <f t="shared" si="130"/>
        <v>0.11652960526315792</v>
      </c>
      <c r="CK35" s="290">
        <v>18.098445000000002</v>
      </c>
      <c r="CL35" s="251">
        <f t="shared" si="135"/>
        <v>0.33302239080798413</v>
      </c>
      <c r="CM35" s="253">
        <f t="shared" si="133"/>
        <v>0.55551740438332642</v>
      </c>
      <c r="CN35" s="74"/>
    </row>
    <row r="36" spans="1:93" s="89" customFormat="1" ht="16.2" customHeight="1" x14ac:dyDescent="0.4">
      <c r="A36" s="156">
        <f t="shared" si="134"/>
        <v>10</v>
      </c>
      <c r="B36" s="83" t="s">
        <v>205</v>
      </c>
      <c r="C36" s="84" t="s">
        <v>407</v>
      </c>
      <c r="D36" s="286">
        <v>0.56999999999999995</v>
      </c>
      <c r="E36" s="287">
        <v>0.7</v>
      </c>
      <c r="F36" s="287">
        <v>0.8</v>
      </c>
      <c r="G36" s="288">
        <v>0.92300000000000004</v>
      </c>
      <c r="H36" s="289">
        <v>1.1399999999999999</v>
      </c>
      <c r="I36" s="251">
        <f t="shared" si="71"/>
        <v>0.23510292524377019</v>
      </c>
      <c r="J36" s="252">
        <f t="shared" si="72"/>
        <v>1</v>
      </c>
      <c r="K36" s="290">
        <v>1.36</v>
      </c>
      <c r="L36" s="251">
        <f t="shared" si="73"/>
        <v>0.19298245614035103</v>
      </c>
      <c r="M36" s="252">
        <f t="shared" si="74"/>
        <v>0.94285714285714306</v>
      </c>
      <c r="N36" s="290">
        <v>2.15</v>
      </c>
      <c r="O36" s="251">
        <f t="shared" si="75"/>
        <v>0.58088235294117618</v>
      </c>
      <c r="P36" s="252">
        <f t="shared" si="76"/>
        <v>1.6874999999999996</v>
      </c>
      <c r="Q36" s="290">
        <v>3.1880000000000002</v>
      </c>
      <c r="R36" s="251">
        <f t="shared" si="77"/>
        <v>0.48279069767441873</v>
      </c>
      <c r="S36" s="253">
        <f t="shared" si="78"/>
        <v>2.4539544962080173</v>
      </c>
      <c r="T36" s="289">
        <v>4.0289999999999999</v>
      </c>
      <c r="U36" s="251">
        <f t="shared" si="79"/>
        <v>0.26380175658720195</v>
      </c>
      <c r="V36" s="252">
        <f t="shared" si="80"/>
        <v>2.5342105263157899</v>
      </c>
      <c r="W36" s="290">
        <v>4.7520000000000007</v>
      </c>
      <c r="X36" s="251">
        <f t="shared" si="81"/>
        <v>0.17944899478778864</v>
      </c>
      <c r="Y36" s="252">
        <f t="shared" si="82"/>
        <v>2.4941176470588236</v>
      </c>
      <c r="Z36" s="290">
        <v>5.2049310000000002</v>
      </c>
      <c r="AA36" s="251">
        <f t="shared" si="83"/>
        <v>9.5313762626262566E-2</v>
      </c>
      <c r="AB36" s="252">
        <f t="shared" si="84"/>
        <v>1.4208981395348839</v>
      </c>
      <c r="AC36" s="290">
        <v>6.3760689999999975</v>
      </c>
      <c r="AD36" s="251">
        <f t="shared" si="85"/>
        <v>0.22500548038004675</v>
      </c>
      <c r="AE36" s="253">
        <f t="shared" si="86"/>
        <v>1.0000216436637381</v>
      </c>
      <c r="AF36" s="289">
        <v>5.01</v>
      </c>
      <c r="AG36" s="251">
        <f t="shared" si="87"/>
        <v>-0.21424940664851622</v>
      </c>
      <c r="AH36" s="252">
        <f t="shared" si="88"/>
        <v>0.24348473566641848</v>
      </c>
      <c r="AI36" s="290">
        <v>5.4211100000000005</v>
      </c>
      <c r="AJ36" s="251">
        <f t="shared" si="89"/>
        <v>8.2057884231537148E-2</v>
      </c>
      <c r="AK36" s="252">
        <f t="shared" si="90"/>
        <v>0.14080597643097637</v>
      </c>
      <c r="AL36" s="290">
        <v>5.3500409999999992</v>
      </c>
      <c r="AM36" s="251">
        <f t="shared" si="91"/>
        <v>-1.3109676800507897E-2</v>
      </c>
      <c r="AN36" s="252">
        <f t="shared" si="92"/>
        <v>2.7879332117947131E-2</v>
      </c>
      <c r="AO36" s="290">
        <v>4.9798489999999997</v>
      </c>
      <c r="AP36" s="251">
        <f t="shared" si="93"/>
        <v>-6.9194236081555172E-2</v>
      </c>
      <c r="AQ36" s="253">
        <f t="shared" si="94"/>
        <v>-0.21897818232519106</v>
      </c>
      <c r="AR36" s="289">
        <v>4.4662100000000002</v>
      </c>
      <c r="AS36" s="251">
        <f t="shared" si="95"/>
        <v>-0.10314348888892</v>
      </c>
      <c r="AT36" s="252">
        <f t="shared" si="96"/>
        <v>-0.10854091816367262</v>
      </c>
      <c r="AU36" s="290">
        <v>4.9737480000000005</v>
      </c>
      <c r="AV36" s="251">
        <f t="shared" si="97"/>
        <v>0.1136395288174985</v>
      </c>
      <c r="AW36" s="252">
        <f t="shared" si="98"/>
        <v>-8.2522214085307244E-2</v>
      </c>
      <c r="AX36" s="290">
        <v>4.4760419999999996</v>
      </c>
      <c r="AY36" s="251">
        <f t="shared" si="99"/>
        <v>-0.10006658962215231</v>
      </c>
      <c r="AZ36" s="252">
        <f t="shared" si="100"/>
        <v>-0.16336304712431171</v>
      </c>
      <c r="BA36" s="290">
        <v>4.6759999999999984</v>
      </c>
      <c r="BB36" s="251">
        <f t="shared" si="101"/>
        <v>4.4672949896358949E-2</v>
      </c>
      <c r="BC36" s="253">
        <f t="shared" si="102"/>
        <v>-6.1015705496291428E-2</v>
      </c>
      <c r="BD36" s="289">
        <v>3.5</v>
      </c>
      <c r="BE36" s="251">
        <f t="shared" si="103"/>
        <v>-0.25149700598802371</v>
      </c>
      <c r="BF36" s="252">
        <f t="shared" si="104"/>
        <v>-0.21633778975910223</v>
      </c>
      <c r="BG36" s="290">
        <v>4.4000000000000004</v>
      </c>
      <c r="BH36" s="251">
        <f t="shared" si="105"/>
        <v>0.25714285714285734</v>
      </c>
      <c r="BI36" s="252">
        <f t="shared" si="106"/>
        <v>-0.11535526126373918</v>
      </c>
      <c r="BJ36" s="290">
        <v>5.5</v>
      </c>
      <c r="BK36" s="251">
        <f t="shared" si="107"/>
        <v>0.25</v>
      </c>
      <c r="BL36" s="252">
        <f t="shared" si="108"/>
        <v>0.22876416262403265</v>
      </c>
      <c r="BM36" s="290">
        <v>7.5129999999999999</v>
      </c>
      <c r="BN36" s="251">
        <f t="shared" si="109"/>
        <v>0.36599999999999988</v>
      </c>
      <c r="BO36" s="253">
        <f t="shared" si="110"/>
        <v>0.60671514114627945</v>
      </c>
      <c r="BP36" s="289">
        <v>8.2080000000000002</v>
      </c>
      <c r="BQ36" s="251">
        <f t="shared" si="112"/>
        <v>9.2506322374550809E-2</v>
      </c>
      <c r="BR36" s="252">
        <f t="shared" si="113"/>
        <v>1.3451428571428572</v>
      </c>
      <c r="BS36" s="290">
        <v>8.2680000000000007</v>
      </c>
      <c r="BT36" s="251">
        <f t="shared" si="115"/>
        <v>7.309941520467822E-3</v>
      </c>
      <c r="BU36" s="252">
        <f t="shared" si="116"/>
        <v>0.87909090909090915</v>
      </c>
      <c r="BV36" s="290">
        <v>8.3379999999999992</v>
      </c>
      <c r="BW36" s="251">
        <f t="shared" si="118"/>
        <v>8.4663763909045286E-3</v>
      </c>
      <c r="BX36" s="252">
        <f t="shared" si="119"/>
        <v>0.51599999999999979</v>
      </c>
      <c r="BY36" s="290">
        <v>8.4510000000000005</v>
      </c>
      <c r="BZ36" s="251">
        <f t="shared" si="121"/>
        <v>1.3552410650036206E-2</v>
      </c>
      <c r="CA36" s="253">
        <f t="shared" si="122"/>
        <v>0.12485025955011331</v>
      </c>
      <c r="CB36" s="289">
        <v>9.1379999999999999</v>
      </c>
      <c r="CC36" s="251">
        <f t="shared" si="124"/>
        <v>8.1292154774582848E-2</v>
      </c>
      <c r="CD36" s="252">
        <f t="shared" si="125"/>
        <v>0.11330409356725135</v>
      </c>
      <c r="CE36" s="290">
        <v>10.587</v>
      </c>
      <c r="CF36" s="251">
        <f t="shared" si="127"/>
        <v>0.15856861457649374</v>
      </c>
      <c r="CG36" s="252">
        <f t="shared" si="128"/>
        <v>0.28047895500725684</v>
      </c>
      <c r="CH36" s="290">
        <v>12.058</v>
      </c>
      <c r="CI36" s="251">
        <f t="shared" si="129"/>
        <v>0.13894398790970053</v>
      </c>
      <c r="CJ36" s="252">
        <f t="shared" si="130"/>
        <v>0.44615015591268903</v>
      </c>
      <c r="CK36" s="290">
        <v>13.19028</v>
      </c>
      <c r="CL36" s="251">
        <f t="shared" si="135"/>
        <v>9.3902803118261824E-2</v>
      </c>
      <c r="CM36" s="253">
        <f t="shared" si="133"/>
        <v>0.5607951721689739</v>
      </c>
      <c r="CN36" s="74"/>
    </row>
    <row r="37" spans="1:93" s="21" customFormat="1" ht="26.4" x14ac:dyDescent="0.4">
      <c r="A37" s="156">
        <f t="shared" si="134"/>
        <v>11</v>
      </c>
      <c r="B37" s="76" t="s">
        <v>245</v>
      </c>
      <c r="C37" s="77" t="s">
        <v>356</v>
      </c>
      <c r="D37" s="78">
        <v>0.21</v>
      </c>
      <c r="E37" s="79">
        <v>0.14000000000000001</v>
      </c>
      <c r="F37" s="79">
        <v>0.19</v>
      </c>
      <c r="G37" s="80">
        <v>0.31799999999999995</v>
      </c>
      <c r="H37" s="81">
        <v>0.28000000000000003</v>
      </c>
      <c r="I37" s="283">
        <f t="shared" si="71"/>
        <v>-0.1194968553459117</v>
      </c>
      <c r="J37" s="284">
        <f t="shared" si="72"/>
        <v>0.33333333333333348</v>
      </c>
      <c r="K37" s="82">
        <v>0.38</v>
      </c>
      <c r="L37" s="283">
        <f t="shared" si="73"/>
        <v>0.35714285714285698</v>
      </c>
      <c r="M37" s="284">
        <f t="shared" si="74"/>
        <v>1.714285714285714</v>
      </c>
      <c r="N37" s="82">
        <v>0.33</v>
      </c>
      <c r="O37" s="283">
        <f t="shared" si="75"/>
        <v>-0.13157894736842102</v>
      </c>
      <c r="P37" s="284">
        <f t="shared" si="76"/>
        <v>0.73684210526315796</v>
      </c>
      <c r="Q37" s="82">
        <v>0.39199999999999985</v>
      </c>
      <c r="R37" s="283">
        <f t="shared" si="77"/>
        <v>0.18787878787878731</v>
      </c>
      <c r="S37" s="285">
        <f t="shared" si="78"/>
        <v>0.232704402515723</v>
      </c>
      <c r="T37" s="81">
        <v>0.51800000000000002</v>
      </c>
      <c r="U37" s="283">
        <f t="shared" si="79"/>
        <v>0.32142857142857206</v>
      </c>
      <c r="V37" s="284">
        <f t="shared" si="80"/>
        <v>0.84999999999999987</v>
      </c>
      <c r="W37" s="82">
        <v>0.89699999999999991</v>
      </c>
      <c r="X37" s="283">
        <f t="shared" si="81"/>
        <v>0.73166023166023142</v>
      </c>
      <c r="Y37" s="284">
        <f t="shared" si="82"/>
        <v>1.3605263157894734</v>
      </c>
      <c r="Z37" s="82">
        <v>0.80805000000000027</v>
      </c>
      <c r="AA37" s="283">
        <f t="shared" si="83"/>
        <v>-9.9163879598661797E-2</v>
      </c>
      <c r="AB37" s="284">
        <f t="shared" si="84"/>
        <v>1.4486363636363642</v>
      </c>
      <c r="AC37" s="82">
        <v>0.53594999999999993</v>
      </c>
      <c r="AD37" s="283">
        <f t="shared" si="85"/>
        <v>-0.33673658808242091</v>
      </c>
      <c r="AE37" s="285">
        <f t="shared" si="86"/>
        <v>0.36721938775510243</v>
      </c>
      <c r="AF37" s="81">
        <v>0.31900000000000001</v>
      </c>
      <c r="AG37" s="283">
        <f t="shared" si="87"/>
        <v>-0.40479522343502183</v>
      </c>
      <c r="AH37" s="284">
        <f t="shared" si="88"/>
        <v>-0.38416988416988418</v>
      </c>
      <c r="AI37" s="82">
        <v>0.46101099999999995</v>
      </c>
      <c r="AJ37" s="283">
        <f t="shared" si="89"/>
        <v>0.44517554858934161</v>
      </c>
      <c r="AK37" s="284">
        <f t="shared" si="90"/>
        <v>-0.48605239687848389</v>
      </c>
      <c r="AL37" s="82">
        <v>0.32017200000000012</v>
      </c>
      <c r="AM37" s="283">
        <f t="shared" si="91"/>
        <v>-0.30550030259581629</v>
      </c>
      <c r="AN37" s="284">
        <f t="shared" si="92"/>
        <v>-0.60377204380917027</v>
      </c>
      <c r="AO37" s="82">
        <v>0.28781699999999999</v>
      </c>
      <c r="AP37" s="283">
        <f t="shared" si="93"/>
        <v>-0.1010550579063757</v>
      </c>
      <c r="AQ37" s="285">
        <f t="shared" si="94"/>
        <v>-0.46297788972851939</v>
      </c>
      <c r="AR37" s="81">
        <v>0.22407500000000002</v>
      </c>
      <c r="AS37" s="283">
        <f t="shared" si="95"/>
        <v>-0.22146711278346998</v>
      </c>
      <c r="AT37" s="284">
        <f t="shared" si="96"/>
        <v>-0.2975705329153604</v>
      </c>
      <c r="AU37" s="82">
        <v>0.176925</v>
      </c>
      <c r="AV37" s="283">
        <f t="shared" si="97"/>
        <v>-0.21042061809661949</v>
      </c>
      <c r="AW37" s="284">
        <f t="shared" si="98"/>
        <v>-0.61622390788939962</v>
      </c>
      <c r="AX37" s="82">
        <v>0.25907199999999997</v>
      </c>
      <c r="AY37" s="283">
        <f t="shared" si="99"/>
        <v>0.46430408365126441</v>
      </c>
      <c r="AZ37" s="284">
        <f t="shared" si="100"/>
        <v>-0.19083492622715337</v>
      </c>
      <c r="BA37" s="82">
        <v>0.48100000000000009</v>
      </c>
      <c r="BB37" s="283">
        <f t="shared" si="101"/>
        <v>0.8566267292490124</v>
      </c>
      <c r="BC37" s="285">
        <f t="shared" si="102"/>
        <v>0.67120079772911301</v>
      </c>
      <c r="BD37" s="81">
        <v>0.57599999999999996</v>
      </c>
      <c r="BE37" s="283">
        <f t="shared" si="103"/>
        <v>0.19750519750519713</v>
      </c>
      <c r="BF37" s="284">
        <f t="shared" si="104"/>
        <v>1.5705678902153291</v>
      </c>
      <c r="BG37" s="82">
        <v>0.7</v>
      </c>
      <c r="BH37" s="283">
        <f t="shared" si="105"/>
        <v>0.2152777777777779</v>
      </c>
      <c r="BI37" s="284">
        <f t="shared" si="106"/>
        <v>2.9564787339268048</v>
      </c>
      <c r="BJ37" s="82">
        <v>0.43400000000000005</v>
      </c>
      <c r="BK37" s="283">
        <f t="shared" si="107"/>
        <v>-0.37999999999999989</v>
      </c>
      <c r="BL37" s="284">
        <f t="shared" si="108"/>
        <v>0.67520998023715451</v>
      </c>
      <c r="BM37" s="82">
        <v>0.255</v>
      </c>
      <c r="BN37" s="283">
        <f t="shared" si="109"/>
        <v>-0.4124423963133641</v>
      </c>
      <c r="BO37" s="285">
        <f t="shared" si="110"/>
        <v>-0.46985446985446999</v>
      </c>
      <c r="BP37" s="81">
        <f t="shared" ref="BP37" si="150">BP38+BP39</f>
        <v>0.27639999999999998</v>
      </c>
      <c r="BQ37" s="283">
        <f t="shared" si="112"/>
        <v>8.3921568627450815E-2</v>
      </c>
      <c r="BR37" s="284">
        <f t="shared" si="113"/>
        <v>-0.52013888888888893</v>
      </c>
      <c r="BS37" s="82">
        <f t="shared" ref="BS37" si="151">BS38+BS39</f>
        <v>0.24</v>
      </c>
      <c r="BT37" s="283">
        <f t="shared" si="115"/>
        <v>-0.13169319826338632</v>
      </c>
      <c r="BU37" s="284">
        <f t="shared" si="116"/>
        <v>-0.65714285714285714</v>
      </c>
      <c r="BV37" s="82">
        <f t="shared" ref="BV37" si="152">BV38+BV39</f>
        <v>0.63900000000000001</v>
      </c>
      <c r="BW37" s="283">
        <f t="shared" si="118"/>
        <v>1.6625000000000001</v>
      </c>
      <c r="BX37" s="284">
        <f t="shared" si="119"/>
        <v>0.47235023041474644</v>
      </c>
      <c r="BY37" s="82">
        <f t="shared" ref="BY37" si="153">BY38+BY39</f>
        <v>1.2729999999999999</v>
      </c>
      <c r="BZ37" s="283">
        <f t="shared" si="121"/>
        <v>0.9921752738654146</v>
      </c>
      <c r="CA37" s="285">
        <f t="shared" si="122"/>
        <v>3.9921568627450972</v>
      </c>
      <c r="CB37" s="81">
        <f t="shared" ref="CB37" si="154">CB38+CB39</f>
        <v>1.395</v>
      </c>
      <c r="CC37" s="283">
        <f t="shared" si="124"/>
        <v>9.5836606441476846E-2</v>
      </c>
      <c r="CD37" s="284">
        <f t="shared" si="125"/>
        <v>4.0470332850940673</v>
      </c>
      <c r="CE37" s="82">
        <f>CE38+CE39</f>
        <v>1.5049999999999999</v>
      </c>
      <c r="CF37" s="283">
        <f t="shared" si="127"/>
        <v>7.8853046594981935E-2</v>
      </c>
      <c r="CG37" s="284">
        <f t="shared" si="128"/>
        <v>5.270833333333333</v>
      </c>
      <c r="CH37" s="82">
        <f t="shared" ref="CH37" si="155">CH38+CH39</f>
        <v>0.43300000000000005</v>
      </c>
      <c r="CI37" s="283">
        <f t="shared" si="129"/>
        <v>-0.71229235880398667</v>
      </c>
      <c r="CJ37" s="284">
        <f t="shared" si="130"/>
        <v>-0.32237871674491381</v>
      </c>
      <c r="CK37" s="82">
        <f t="shared" ref="CK37" si="156">CK38+CK39</f>
        <v>1.1648080000000001</v>
      </c>
      <c r="CL37" s="283">
        <f t="shared" si="135"/>
        <v>1.6900877598152424</v>
      </c>
      <c r="CM37" s="285">
        <f t="shared" si="133"/>
        <v>-8.4989787902592151E-2</v>
      </c>
      <c r="CN37" s="74"/>
    </row>
    <row r="38" spans="1:93" s="89" customFormat="1" ht="16.2" customHeight="1" x14ac:dyDescent="0.4">
      <c r="A38" s="156">
        <f t="shared" si="134"/>
        <v>12</v>
      </c>
      <c r="B38" s="83" t="s">
        <v>204</v>
      </c>
      <c r="C38" s="84" t="s">
        <v>406</v>
      </c>
      <c r="D38" s="286">
        <v>0.18</v>
      </c>
      <c r="E38" s="287">
        <v>0.09</v>
      </c>
      <c r="F38" s="287">
        <v>0.04</v>
      </c>
      <c r="G38" s="288">
        <v>0.15999999999999998</v>
      </c>
      <c r="H38" s="289">
        <v>0.18</v>
      </c>
      <c r="I38" s="251">
        <f t="shared" si="71"/>
        <v>0.12500000000000022</v>
      </c>
      <c r="J38" s="252">
        <f t="shared" si="72"/>
        <v>0</v>
      </c>
      <c r="K38" s="290">
        <v>0.26</v>
      </c>
      <c r="L38" s="251">
        <f t="shared" si="73"/>
        <v>0.44444444444444464</v>
      </c>
      <c r="M38" s="252">
        <f t="shared" si="74"/>
        <v>1.8888888888888893</v>
      </c>
      <c r="N38" s="290">
        <v>0.21</v>
      </c>
      <c r="O38" s="251">
        <f t="shared" si="75"/>
        <v>-0.1923076923076924</v>
      </c>
      <c r="P38" s="252">
        <f t="shared" si="76"/>
        <v>4.25</v>
      </c>
      <c r="Q38" s="290">
        <v>0.30899999999999994</v>
      </c>
      <c r="R38" s="251">
        <f t="shared" si="77"/>
        <v>0.47142857142857131</v>
      </c>
      <c r="S38" s="253">
        <f t="shared" si="78"/>
        <v>0.93124999999999991</v>
      </c>
      <c r="T38" s="289">
        <v>0.36099999999999999</v>
      </c>
      <c r="U38" s="251">
        <f t="shared" si="79"/>
        <v>0.16828478964401317</v>
      </c>
      <c r="V38" s="252">
        <f t="shared" si="80"/>
        <v>1.0055555555555555</v>
      </c>
      <c r="W38" s="290">
        <v>0.46499999999999997</v>
      </c>
      <c r="X38" s="251">
        <f t="shared" si="81"/>
        <v>0.28808864265927969</v>
      </c>
      <c r="Y38" s="252">
        <f t="shared" si="82"/>
        <v>0.78846153846153832</v>
      </c>
      <c r="Z38" s="290">
        <v>0.34733800000000004</v>
      </c>
      <c r="AA38" s="251">
        <f t="shared" si="83"/>
        <v>-0.25303655913978484</v>
      </c>
      <c r="AB38" s="252">
        <f t="shared" si="84"/>
        <v>0.65399047619047646</v>
      </c>
      <c r="AC38" s="290">
        <v>0.29266200000000009</v>
      </c>
      <c r="AD38" s="251">
        <f t="shared" si="85"/>
        <v>-0.15741439174521632</v>
      </c>
      <c r="AE38" s="253">
        <f t="shared" si="86"/>
        <v>-5.2873786407766521E-2</v>
      </c>
      <c r="AF38" s="289">
        <v>0.22900000000000001</v>
      </c>
      <c r="AG38" s="251">
        <f t="shared" si="87"/>
        <v>-0.2175273865414713</v>
      </c>
      <c r="AH38" s="252">
        <f t="shared" si="88"/>
        <v>-0.36565096952908582</v>
      </c>
      <c r="AI38" s="290">
        <v>0.26297599999999999</v>
      </c>
      <c r="AJ38" s="251">
        <f t="shared" si="89"/>
        <v>0.14836681222707404</v>
      </c>
      <c r="AK38" s="252">
        <f t="shared" si="90"/>
        <v>-0.43446021505376342</v>
      </c>
      <c r="AL38" s="290">
        <v>0.16682000000000008</v>
      </c>
      <c r="AM38" s="251">
        <f t="shared" si="91"/>
        <v>-0.36564553419323398</v>
      </c>
      <c r="AN38" s="252">
        <f t="shared" si="92"/>
        <v>-0.51971854504833892</v>
      </c>
      <c r="AO38" s="290">
        <v>0.13820399999999999</v>
      </c>
      <c r="AP38" s="251">
        <f t="shared" si="93"/>
        <v>-0.17153818486992012</v>
      </c>
      <c r="AQ38" s="253">
        <f t="shared" si="94"/>
        <v>-0.5277692355003385</v>
      </c>
      <c r="AR38" s="289">
        <v>8.7656999999999999E-2</v>
      </c>
      <c r="AS38" s="251">
        <f t="shared" si="95"/>
        <v>-0.36574194668750537</v>
      </c>
      <c r="AT38" s="252">
        <f t="shared" si="96"/>
        <v>-0.61721834061135372</v>
      </c>
      <c r="AU38" s="290">
        <v>6.468900000000001E-2</v>
      </c>
      <c r="AV38" s="251">
        <f t="shared" si="97"/>
        <v>-0.26202128751839548</v>
      </c>
      <c r="AW38" s="252">
        <f t="shared" si="98"/>
        <v>-0.75401177293745425</v>
      </c>
      <c r="AX38" s="290">
        <v>8.2653999999999991E-2</v>
      </c>
      <c r="AY38" s="251">
        <f t="shared" si="99"/>
        <v>0.27771336703303473</v>
      </c>
      <c r="AZ38" s="252">
        <f t="shared" si="100"/>
        <v>-0.50453183071574181</v>
      </c>
      <c r="BA38" s="290">
        <v>0.23399999999999999</v>
      </c>
      <c r="BB38" s="251">
        <f t="shared" si="101"/>
        <v>1.8310789556464298</v>
      </c>
      <c r="BC38" s="253">
        <f t="shared" si="102"/>
        <v>0.69314925761917157</v>
      </c>
      <c r="BD38" s="289">
        <v>0.36499999999999999</v>
      </c>
      <c r="BE38" s="251">
        <f t="shared" si="103"/>
        <v>0.55982905982905984</v>
      </c>
      <c r="BF38" s="252">
        <f t="shared" si="104"/>
        <v>3.1639572424335762</v>
      </c>
      <c r="BG38" s="290">
        <v>0.45200000000000001</v>
      </c>
      <c r="BH38" s="251">
        <f t="shared" si="105"/>
        <v>0.23835616438356166</v>
      </c>
      <c r="BI38" s="252">
        <f t="shared" si="106"/>
        <v>5.9872775896984018</v>
      </c>
      <c r="BJ38" s="290">
        <v>0.159</v>
      </c>
      <c r="BK38" s="251">
        <f t="shared" si="107"/>
        <v>-0.64823008849557517</v>
      </c>
      <c r="BL38" s="252">
        <f t="shared" si="108"/>
        <v>0.92368185447770257</v>
      </c>
      <c r="BM38" s="290">
        <v>8.8999999999999996E-2</v>
      </c>
      <c r="BN38" s="251">
        <f t="shared" si="109"/>
        <v>-0.44025157232704404</v>
      </c>
      <c r="BO38" s="253">
        <f t="shared" si="110"/>
        <v>-0.61965811965811968</v>
      </c>
      <c r="BP38" s="289">
        <v>6.3700000000000007E-2</v>
      </c>
      <c r="BQ38" s="251">
        <f t="shared" si="112"/>
        <v>-0.28426966292134825</v>
      </c>
      <c r="BR38" s="252">
        <f t="shared" si="113"/>
        <v>-0.82547945205479456</v>
      </c>
      <c r="BS38" s="290">
        <v>3.2000000000000001E-2</v>
      </c>
      <c r="BT38" s="251">
        <f t="shared" si="115"/>
        <v>-0.49764521193092626</v>
      </c>
      <c r="BU38" s="252">
        <f t="shared" si="116"/>
        <v>-0.92920353982300885</v>
      </c>
      <c r="BV38" s="290">
        <v>0.27800000000000002</v>
      </c>
      <c r="BW38" s="251">
        <f t="shared" si="118"/>
        <v>7.6875</v>
      </c>
      <c r="BX38" s="252">
        <f t="shared" si="119"/>
        <v>0.7484276729559749</v>
      </c>
      <c r="BY38" s="290">
        <v>0.98199999999999998</v>
      </c>
      <c r="BZ38" s="251">
        <f t="shared" si="121"/>
        <v>2.5323741007194243</v>
      </c>
      <c r="CA38" s="253">
        <f t="shared" si="122"/>
        <v>10.033707865168539</v>
      </c>
      <c r="CB38" s="289">
        <v>0.69899999999999995</v>
      </c>
      <c r="CC38" s="251">
        <f t="shared" si="124"/>
        <v>-0.28818737270875772</v>
      </c>
      <c r="CD38" s="252">
        <f t="shared" si="125"/>
        <v>9.9733124018838293</v>
      </c>
      <c r="CE38" s="290">
        <v>0.58599999999999997</v>
      </c>
      <c r="CF38" s="251">
        <f t="shared" si="127"/>
        <v>-0.16165951359084407</v>
      </c>
      <c r="CG38" s="252">
        <f t="shared" si="128"/>
        <v>17.3125</v>
      </c>
      <c r="CH38" s="290">
        <v>0.156</v>
      </c>
      <c r="CI38" s="251">
        <f t="shared" si="129"/>
        <v>-0.7337883959044369</v>
      </c>
      <c r="CJ38" s="252">
        <f t="shared" si="130"/>
        <v>-0.4388489208633094</v>
      </c>
      <c r="CK38" s="290">
        <v>0.22877500000000001</v>
      </c>
      <c r="CL38" s="251">
        <f t="shared" si="135"/>
        <v>0.46650641025641026</v>
      </c>
      <c r="CM38" s="253">
        <f t="shared" si="133"/>
        <v>-0.76703156822810592</v>
      </c>
      <c r="CN38" s="74"/>
    </row>
    <row r="39" spans="1:93" s="89" customFormat="1" ht="16.2" customHeight="1" x14ac:dyDescent="0.4">
      <c r="A39" s="156">
        <f t="shared" si="134"/>
        <v>13</v>
      </c>
      <c r="B39" s="83" t="s">
        <v>205</v>
      </c>
      <c r="C39" s="84" t="s">
        <v>407</v>
      </c>
      <c r="D39" s="286">
        <v>0.03</v>
      </c>
      <c r="E39" s="287">
        <v>0.05</v>
      </c>
      <c r="F39" s="287">
        <v>0.15</v>
      </c>
      <c r="G39" s="288">
        <v>0.158</v>
      </c>
      <c r="H39" s="289">
        <v>0.1</v>
      </c>
      <c r="I39" s="251">
        <f t="shared" si="71"/>
        <v>-0.36708860759493667</v>
      </c>
      <c r="J39" s="252">
        <f t="shared" si="72"/>
        <v>2.3333333333333335</v>
      </c>
      <c r="K39" s="290">
        <v>0.12</v>
      </c>
      <c r="L39" s="251">
        <f t="shared" si="73"/>
        <v>0.19999999999999996</v>
      </c>
      <c r="M39" s="252">
        <f t="shared" si="74"/>
        <v>1.4</v>
      </c>
      <c r="N39" s="290">
        <v>0.12</v>
      </c>
      <c r="O39" s="251">
        <f t="shared" si="75"/>
        <v>0</v>
      </c>
      <c r="P39" s="252">
        <f t="shared" si="76"/>
        <v>-0.19999999999999996</v>
      </c>
      <c r="Q39" s="290">
        <v>8.2999999999999963E-2</v>
      </c>
      <c r="R39" s="251">
        <f t="shared" si="77"/>
        <v>-0.30833333333333357</v>
      </c>
      <c r="S39" s="253">
        <f t="shared" si="78"/>
        <v>-0.47468354430379767</v>
      </c>
      <c r="T39" s="289">
        <v>0.157</v>
      </c>
      <c r="U39" s="251">
        <f t="shared" si="79"/>
        <v>0.89156626506024184</v>
      </c>
      <c r="V39" s="252">
        <f t="shared" si="80"/>
        <v>0.56999999999999984</v>
      </c>
      <c r="W39" s="290">
        <v>0.43199999999999994</v>
      </c>
      <c r="X39" s="251">
        <f t="shared" si="81"/>
        <v>1.7515923566878975</v>
      </c>
      <c r="Y39" s="252">
        <f t="shared" si="82"/>
        <v>2.5999999999999996</v>
      </c>
      <c r="Z39" s="290">
        <v>0.46071200000000001</v>
      </c>
      <c r="AA39" s="251">
        <f t="shared" si="83"/>
        <v>6.6462962962963168E-2</v>
      </c>
      <c r="AB39" s="252">
        <f t="shared" si="84"/>
        <v>2.839266666666667</v>
      </c>
      <c r="AC39" s="290">
        <v>0.24428800000000009</v>
      </c>
      <c r="AD39" s="251">
        <f t="shared" si="85"/>
        <v>-0.46975984997134856</v>
      </c>
      <c r="AE39" s="253">
        <f t="shared" si="86"/>
        <v>1.9432289156626532</v>
      </c>
      <c r="AF39" s="289">
        <v>0.09</v>
      </c>
      <c r="AG39" s="251">
        <f t="shared" si="87"/>
        <v>-0.63158239455069443</v>
      </c>
      <c r="AH39" s="252">
        <f t="shared" si="88"/>
        <v>-0.42675159235668791</v>
      </c>
      <c r="AI39" s="290">
        <v>0.19803499999999999</v>
      </c>
      <c r="AJ39" s="251">
        <f t="shared" si="89"/>
        <v>1.2003888888888889</v>
      </c>
      <c r="AK39" s="252">
        <f t="shared" si="90"/>
        <v>-0.54158564814814814</v>
      </c>
      <c r="AL39" s="290">
        <v>0.15335200000000002</v>
      </c>
      <c r="AM39" s="251">
        <f t="shared" si="91"/>
        <v>-0.22563183275683574</v>
      </c>
      <c r="AN39" s="252">
        <f t="shared" si="92"/>
        <v>-0.66714129434440594</v>
      </c>
      <c r="AO39" s="290">
        <v>0.14961300000000002</v>
      </c>
      <c r="AP39" s="251">
        <f t="shared" si="93"/>
        <v>-2.4381814387813616E-2</v>
      </c>
      <c r="AQ39" s="253">
        <f t="shared" si="94"/>
        <v>-0.38755485328792261</v>
      </c>
      <c r="AR39" s="289">
        <v>0.13641800000000001</v>
      </c>
      <c r="AS39" s="251">
        <f t="shared" si="95"/>
        <v>-8.8194207722591011E-2</v>
      </c>
      <c r="AT39" s="252">
        <f t="shared" si="96"/>
        <v>0.51575555555555574</v>
      </c>
      <c r="AU39" s="290">
        <v>0.11316399999999999</v>
      </c>
      <c r="AV39" s="251">
        <f t="shared" si="97"/>
        <v>-0.17046137606474232</v>
      </c>
      <c r="AW39" s="252">
        <f t="shared" si="98"/>
        <v>-0.42856565758578036</v>
      </c>
      <c r="AX39" s="290">
        <v>0.17641799999999999</v>
      </c>
      <c r="AY39" s="251">
        <f t="shared" si="99"/>
        <v>0.55895867943869093</v>
      </c>
      <c r="AZ39" s="252">
        <f t="shared" si="100"/>
        <v>0.15041212374145729</v>
      </c>
      <c r="BA39" s="290">
        <v>0.24700000000000008</v>
      </c>
      <c r="BB39" s="251">
        <f t="shared" si="101"/>
        <v>0.40008389166638381</v>
      </c>
      <c r="BC39" s="253">
        <f t="shared" si="102"/>
        <v>0.65092605589086538</v>
      </c>
      <c r="BD39" s="289">
        <v>0.21099999999999999</v>
      </c>
      <c r="BE39" s="251">
        <f t="shared" si="103"/>
        <v>-0.14574898785425128</v>
      </c>
      <c r="BF39" s="252">
        <f t="shared" si="104"/>
        <v>0.54671670893870283</v>
      </c>
      <c r="BG39" s="290">
        <v>0.23799999999999999</v>
      </c>
      <c r="BH39" s="251">
        <f t="shared" si="105"/>
        <v>0.12796208530805675</v>
      </c>
      <c r="BI39" s="252">
        <f t="shared" si="106"/>
        <v>1.1031423420875899</v>
      </c>
      <c r="BJ39" s="290">
        <v>0.27500000000000002</v>
      </c>
      <c r="BK39" s="251">
        <f t="shared" si="107"/>
        <v>0.15546218487394969</v>
      </c>
      <c r="BL39" s="252">
        <f t="shared" si="108"/>
        <v>0.5587978550941517</v>
      </c>
      <c r="BM39" s="290">
        <v>0.16600000000000001</v>
      </c>
      <c r="BN39" s="251">
        <f t="shared" si="109"/>
        <v>-0.39636363636363636</v>
      </c>
      <c r="BO39" s="253">
        <f t="shared" si="110"/>
        <v>-0.32793522267206499</v>
      </c>
      <c r="BP39" s="289">
        <v>0.2127</v>
      </c>
      <c r="BQ39" s="251">
        <f t="shared" si="112"/>
        <v>0.28132530120481913</v>
      </c>
      <c r="BR39" s="252">
        <f t="shared" si="113"/>
        <v>8.0568720379148306E-3</v>
      </c>
      <c r="BS39" s="290">
        <v>0.20799999999999999</v>
      </c>
      <c r="BT39" s="251">
        <f t="shared" si="115"/>
        <v>-2.2096850023507364E-2</v>
      </c>
      <c r="BU39" s="252">
        <f t="shared" si="116"/>
        <v>-0.12605042016806722</v>
      </c>
      <c r="BV39" s="290">
        <v>0.36099999999999999</v>
      </c>
      <c r="BW39" s="251">
        <f t="shared" si="118"/>
        <v>0.73557692307692313</v>
      </c>
      <c r="BX39" s="252">
        <f t="shared" si="119"/>
        <v>0.31272727272727252</v>
      </c>
      <c r="BY39" s="290">
        <v>0.29099999999999998</v>
      </c>
      <c r="BZ39" s="251">
        <f t="shared" si="121"/>
        <v>-0.19390581717451527</v>
      </c>
      <c r="CA39" s="253">
        <f t="shared" si="122"/>
        <v>0.7530120481927709</v>
      </c>
      <c r="CB39" s="289">
        <v>0.69599999999999995</v>
      </c>
      <c r="CC39" s="251">
        <f t="shared" si="124"/>
        <v>1.3917525773195876</v>
      </c>
      <c r="CD39" s="252">
        <f t="shared" si="125"/>
        <v>2.2722143864598023</v>
      </c>
      <c r="CE39" s="290">
        <v>0.91900000000000004</v>
      </c>
      <c r="CF39" s="251">
        <f t="shared" si="127"/>
        <v>0.32040229885057481</v>
      </c>
      <c r="CG39" s="252">
        <f t="shared" si="128"/>
        <v>3.4182692307692308</v>
      </c>
      <c r="CH39" s="290">
        <v>0.27700000000000002</v>
      </c>
      <c r="CI39" s="251">
        <f t="shared" si="129"/>
        <v>-0.69858541893362347</v>
      </c>
      <c r="CJ39" s="252">
        <f t="shared" si="130"/>
        <v>-0.23268698060941817</v>
      </c>
      <c r="CK39" s="290">
        <v>0.936033</v>
      </c>
      <c r="CL39" s="251">
        <f t="shared" si="135"/>
        <v>2.379180505415162</v>
      </c>
      <c r="CM39" s="253">
        <f t="shared" si="133"/>
        <v>2.2166082474226805</v>
      </c>
      <c r="CN39" s="74"/>
    </row>
    <row r="40" spans="1:93" s="21" customFormat="1" ht="26.4" x14ac:dyDescent="0.4">
      <c r="A40" s="156">
        <f t="shared" si="134"/>
        <v>14</v>
      </c>
      <c r="B40" s="76" t="s">
        <v>357</v>
      </c>
      <c r="C40" s="77" t="s">
        <v>358</v>
      </c>
      <c r="D40" s="78"/>
      <c r="E40" s="79"/>
      <c r="F40" s="79"/>
      <c r="G40" s="80"/>
      <c r="H40" s="81"/>
      <c r="I40" s="283"/>
      <c r="J40" s="284"/>
      <c r="K40" s="82"/>
      <c r="L40" s="283"/>
      <c r="M40" s="284"/>
      <c r="N40" s="82"/>
      <c r="O40" s="283"/>
      <c r="P40" s="284"/>
      <c r="Q40" s="82"/>
      <c r="R40" s="283"/>
      <c r="S40" s="285"/>
      <c r="T40" s="81"/>
      <c r="U40" s="283"/>
      <c r="V40" s="284"/>
      <c r="W40" s="82"/>
      <c r="X40" s="283"/>
      <c r="Y40" s="284"/>
      <c r="Z40" s="82"/>
      <c r="AA40" s="283"/>
      <c r="AB40" s="284"/>
      <c r="AC40" s="82"/>
      <c r="AD40" s="283"/>
      <c r="AE40" s="285"/>
      <c r="AF40" s="81"/>
      <c r="AG40" s="283"/>
      <c r="AH40" s="284"/>
      <c r="AI40" s="82"/>
      <c r="AJ40" s="283"/>
      <c r="AK40" s="284"/>
      <c r="AL40" s="82"/>
      <c r="AM40" s="283"/>
      <c r="AN40" s="284"/>
      <c r="AO40" s="82"/>
      <c r="AP40" s="283"/>
      <c r="AQ40" s="285"/>
      <c r="AR40" s="81"/>
      <c r="AS40" s="283"/>
      <c r="AT40" s="284"/>
      <c r="AU40" s="82"/>
      <c r="AV40" s="283"/>
      <c r="AW40" s="284"/>
      <c r="AX40" s="82"/>
      <c r="AY40" s="283"/>
      <c r="AZ40" s="284"/>
      <c r="BA40" s="82"/>
      <c r="BB40" s="283"/>
      <c r="BC40" s="285"/>
      <c r="BD40" s="81"/>
      <c r="BE40" s="283"/>
      <c r="BF40" s="284"/>
      <c r="BG40" s="82"/>
      <c r="BH40" s="283"/>
      <c r="BI40" s="284"/>
      <c r="BJ40" s="82"/>
      <c r="BK40" s="283"/>
      <c r="BL40" s="284"/>
      <c r="BM40" s="82"/>
      <c r="BN40" s="283"/>
      <c r="BO40" s="285"/>
      <c r="BP40" s="81"/>
      <c r="BQ40" s="283"/>
      <c r="BR40" s="284"/>
      <c r="BS40" s="82"/>
      <c r="BT40" s="283"/>
      <c r="BU40" s="284"/>
      <c r="BV40" s="82"/>
      <c r="BW40" s="283"/>
      <c r="BX40" s="284"/>
      <c r="BY40" s="82"/>
      <c r="BZ40" s="283"/>
      <c r="CA40" s="285"/>
      <c r="CB40" s="81"/>
      <c r="CC40" s="283"/>
      <c r="CD40" s="284"/>
      <c r="CE40" s="82"/>
      <c r="CF40" s="283"/>
      <c r="CG40" s="284"/>
      <c r="CH40" s="82"/>
      <c r="CI40" s="283"/>
      <c r="CJ40" s="284"/>
      <c r="CK40" s="82">
        <v>11.6839</v>
      </c>
      <c r="CL40" s="283"/>
      <c r="CM40" s="285"/>
      <c r="CN40" s="74"/>
      <c r="CO40" s="89"/>
    </row>
    <row r="41" spans="1:93" s="89" customFormat="1" ht="16.2" customHeight="1" x14ac:dyDescent="0.4">
      <c r="A41" s="156">
        <f t="shared" si="134"/>
        <v>15</v>
      </c>
      <c r="B41" s="83" t="s">
        <v>204</v>
      </c>
      <c r="C41" s="84" t="s">
        <v>406</v>
      </c>
      <c r="D41" s="286"/>
      <c r="E41" s="287"/>
      <c r="F41" s="287"/>
      <c r="G41" s="288"/>
      <c r="H41" s="289"/>
      <c r="I41" s="251"/>
      <c r="J41" s="252"/>
      <c r="K41" s="290"/>
      <c r="L41" s="251"/>
      <c r="M41" s="252"/>
      <c r="N41" s="290"/>
      <c r="O41" s="251"/>
      <c r="P41" s="252"/>
      <c r="Q41" s="290"/>
      <c r="R41" s="251"/>
      <c r="S41" s="253"/>
      <c r="T41" s="289"/>
      <c r="U41" s="251"/>
      <c r="V41" s="252"/>
      <c r="W41" s="290"/>
      <c r="X41" s="251"/>
      <c r="Y41" s="252"/>
      <c r="Z41" s="290"/>
      <c r="AA41" s="251"/>
      <c r="AB41" s="252"/>
      <c r="AC41" s="290"/>
      <c r="AD41" s="251"/>
      <c r="AE41" s="253"/>
      <c r="AF41" s="289"/>
      <c r="AG41" s="251"/>
      <c r="AH41" s="252"/>
      <c r="AI41" s="290"/>
      <c r="AJ41" s="251"/>
      <c r="AK41" s="252"/>
      <c r="AL41" s="290"/>
      <c r="AM41" s="251"/>
      <c r="AN41" s="252"/>
      <c r="AO41" s="290"/>
      <c r="AP41" s="251"/>
      <c r="AQ41" s="253"/>
      <c r="AR41" s="289"/>
      <c r="AS41" s="251"/>
      <c r="AT41" s="252"/>
      <c r="AU41" s="290"/>
      <c r="AV41" s="251"/>
      <c r="AW41" s="252"/>
      <c r="AX41" s="290"/>
      <c r="AY41" s="251"/>
      <c r="AZ41" s="252"/>
      <c r="BA41" s="290"/>
      <c r="BB41" s="251"/>
      <c r="BC41" s="253"/>
      <c r="BD41" s="289"/>
      <c r="BE41" s="251"/>
      <c r="BF41" s="252"/>
      <c r="BG41" s="290"/>
      <c r="BH41" s="251"/>
      <c r="BI41" s="252"/>
      <c r="BJ41" s="290"/>
      <c r="BK41" s="251"/>
      <c r="BL41" s="252"/>
      <c r="BM41" s="290"/>
      <c r="BN41" s="251"/>
      <c r="BO41" s="253"/>
      <c r="BP41" s="289"/>
      <c r="BQ41" s="251"/>
      <c r="BR41" s="252"/>
      <c r="BS41" s="290"/>
      <c r="BT41" s="251"/>
      <c r="BU41" s="252"/>
      <c r="BV41" s="290"/>
      <c r="BW41" s="251"/>
      <c r="BX41" s="252"/>
      <c r="BY41" s="290"/>
      <c r="BZ41" s="251"/>
      <c r="CA41" s="253"/>
      <c r="CB41" s="289"/>
      <c r="CC41" s="251"/>
      <c r="CD41" s="252"/>
      <c r="CE41" s="290"/>
      <c r="CF41" s="251"/>
      <c r="CG41" s="252"/>
      <c r="CH41" s="290"/>
      <c r="CI41" s="251"/>
      <c r="CJ41" s="252"/>
      <c r="CK41" s="290">
        <v>8.3497669999999999</v>
      </c>
      <c r="CL41" s="251"/>
      <c r="CM41" s="253"/>
      <c r="CN41" s="74"/>
    </row>
    <row r="42" spans="1:93" s="89" customFormat="1" ht="16.2" customHeight="1" x14ac:dyDescent="0.4">
      <c r="A42" s="156">
        <f t="shared" si="134"/>
        <v>16</v>
      </c>
      <c r="B42" s="83" t="s">
        <v>205</v>
      </c>
      <c r="C42" s="84" t="s">
        <v>407</v>
      </c>
      <c r="D42" s="286"/>
      <c r="E42" s="287"/>
      <c r="F42" s="287"/>
      <c r="G42" s="288"/>
      <c r="H42" s="289"/>
      <c r="I42" s="251"/>
      <c r="J42" s="252"/>
      <c r="K42" s="290"/>
      <c r="L42" s="251"/>
      <c r="M42" s="252"/>
      <c r="N42" s="290"/>
      <c r="O42" s="251"/>
      <c r="P42" s="252"/>
      <c r="Q42" s="290"/>
      <c r="R42" s="251"/>
      <c r="S42" s="253"/>
      <c r="T42" s="289"/>
      <c r="U42" s="251"/>
      <c r="V42" s="252"/>
      <c r="W42" s="290"/>
      <c r="X42" s="251"/>
      <c r="Y42" s="252"/>
      <c r="Z42" s="290"/>
      <c r="AA42" s="251"/>
      <c r="AB42" s="252"/>
      <c r="AC42" s="290"/>
      <c r="AD42" s="251"/>
      <c r="AE42" s="253"/>
      <c r="AF42" s="289"/>
      <c r="AG42" s="251"/>
      <c r="AH42" s="252"/>
      <c r="AI42" s="290"/>
      <c r="AJ42" s="251"/>
      <c r="AK42" s="252"/>
      <c r="AL42" s="290"/>
      <c r="AM42" s="251"/>
      <c r="AN42" s="252"/>
      <c r="AO42" s="290"/>
      <c r="AP42" s="251"/>
      <c r="AQ42" s="253"/>
      <c r="AR42" s="289"/>
      <c r="AS42" s="251"/>
      <c r="AT42" s="252"/>
      <c r="AU42" s="290"/>
      <c r="AV42" s="251"/>
      <c r="AW42" s="252"/>
      <c r="AX42" s="290"/>
      <c r="AY42" s="251"/>
      <c r="AZ42" s="252"/>
      <c r="BA42" s="290"/>
      <c r="BB42" s="251"/>
      <c r="BC42" s="253"/>
      <c r="BD42" s="289"/>
      <c r="BE42" s="251"/>
      <c r="BF42" s="252"/>
      <c r="BG42" s="290"/>
      <c r="BH42" s="251"/>
      <c r="BI42" s="252"/>
      <c r="BJ42" s="290"/>
      <c r="BK42" s="251"/>
      <c r="BL42" s="252"/>
      <c r="BM42" s="290"/>
      <c r="BN42" s="251"/>
      <c r="BO42" s="253"/>
      <c r="BP42" s="289"/>
      <c r="BQ42" s="251"/>
      <c r="BR42" s="252"/>
      <c r="BS42" s="290"/>
      <c r="BT42" s="251"/>
      <c r="BU42" s="252"/>
      <c r="BV42" s="290"/>
      <c r="BW42" s="251"/>
      <c r="BX42" s="252"/>
      <c r="BY42" s="290"/>
      <c r="BZ42" s="251"/>
      <c r="CA42" s="253"/>
      <c r="CB42" s="289"/>
      <c r="CC42" s="251"/>
      <c r="CD42" s="252"/>
      <c r="CE42" s="290"/>
      <c r="CF42" s="251"/>
      <c r="CG42" s="252"/>
      <c r="CH42" s="290"/>
      <c r="CI42" s="251"/>
      <c r="CJ42" s="252"/>
      <c r="CK42" s="290">
        <v>3.3339300000000001</v>
      </c>
      <c r="CL42" s="251"/>
      <c r="CM42" s="253"/>
      <c r="CN42" s="74"/>
    </row>
    <row r="43" spans="1:93" s="21" customFormat="1" ht="16.2" customHeight="1" x14ac:dyDescent="0.4">
      <c r="A43" s="156">
        <f t="shared" si="134"/>
        <v>17</v>
      </c>
      <c r="B43" s="76" t="s">
        <v>359</v>
      </c>
      <c r="C43" s="77" t="s">
        <v>187</v>
      </c>
      <c r="D43" s="78" t="s">
        <v>3</v>
      </c>
      <c r="E43" s="79" t="s">
        <v>3</v>
      </c>
      <c r="F43" s="79" t="s">
        <v>3</v>
      </c>
      <c r="G43" s="80" t="s">
        <v>3</v>
      </c>
      <c r="H43" s="81" t="s">
        <v>3</v>
      </c>
      <c r="I43" s="283" t="s">
        <v>3</v>
      </c>
      <c r="J43" s="284" t="s">
        <v>3</v>
      </c>
      <c r="K43" s="82" t="s">
        <v>3</v>
      </c>
      <c r="L43" s="283" t="s">
        <v>3</v>
      </c>
      <c r="M43" s="284" t="s">
        <v>3</v>
      </c>
      <c r="N43" s="82" t="s">
        <v>3</v>
      </c>
      <c r="O43" s="283" t="s">
        <v>3</v>
      </c>
      <c r="P43" s="284" t="s">
        <v>3</v>
      </c>
      <c r="Q43" s="82" t="s">
        <v>3</v>
      </c>
      <c r="R43" s="283" t="s">
        <v>3</v>
      </c>
      <c r="S43" s="285" t="s">
        <v>3</v>
      </c>
      <c r="T43" s="81" t="s">
        <v>3</v>
      </c>
      <c r="U43" s="283" t="s">
        <v>3</v>
      </c>
      <c r="V43" s="284" t="s">
        <v>3</v>
      </c>
      <c r="W43" s="82" t="s">
        <v>3</v>
      </c>
      <c r="X43" s="283" t="s">
        <v>3</v>
      </c>
      <c r="Y43" s="284" t="s">
        <v>3</v>
      </c>
      <c r="Z43" s="82" t="s">
        <v>3</v>
      </c>
      <c r="AA43" s="283" t="s">
        <v>3</v>
      </c>
      <c r="AB43" s="284" t="s">
        <v>3</v>
      </c>
      <c r="AC43" s="82" t="s">
        <v>3</v>
      </c>
      <c r="AD43" s="283" t="s">
        <v>3</v>
      </c>
      <c r="AE43" s="285" t="s">
        <v>3</v>
      </c>
      <c r="AF43" s="81" t="s">
        <v>3</v>
      </c>
      <c r="AG43" s="283" t="s">
        <v>3</v>
      </c>
      <c r="AH43" s="284" t="s">
        <v>3</v>
      </c>
      <c r="AI43" s="82" t="s">
        <v>3</v>
      </c>
      <c r="AJ43" s="283" t="s">
        <v>3</v>
      </c>
      <c r="AK43" s="284" t="s">
        <v>3</v>
      </c>
      <c r="AL43" s="82" t="s">
        <v>3</v>
      </c>
      <c r="AM43" s="283" t="s">
        <v>3</v>
      </c>
      <c r="AN43" s="284" t="s">
        <v>3</v>
      </c>
      <c r="AO43" s="82" t="s">
        <v>3</v>
      </c>
      <c r="AP43" s="283" t="s">
        <v>3</v>
      </c>
      <c r="AQ43" s="285" t="s">
        <v>3</v>
      </c>
      <c r="AR43" s="81" t="s">
        <v>3</v>
      </c>
      <c r="AS43" s="283" t="s">
        <v>3</v>
      </c>
      <c r="AT43" s="284" t="s">
        <v>3</v>
      </c>
      <c r="AU43" s="82" t="s">
        <v>3</v>
      </c>
      <c r="AV43" s="283" t="s">
        <v>3</v>
      </c>
      <c r="AW43" s="284" t="s">
        <v>3</v>
      </c>
      <c r="AX43" s="82" t="s">
        <v>3</v>
      </c>
      <c r="AY43" s="283" t="s">
        <v>3</v>
      </c>
      <c r="AZ43" s="284" t="s">
        <v>3</v>
      </c>
      <c r="BA43" s="82" t="s">
        <v>3</v>
      </c>
      <c r="BB43" s="283" t="s">
        <v>3</v>
      </c>
      <c r="BC43" s="285" t="s">
        <v>3</v>
      </c>
      <c r="BD43" s="81">
        <v>0.51</v>
      </c>
      <c r="BE43" s="283" t="s">
        <v>3</v>
      </c>
      <c r="BF43" s="284" t="s">
        <v>3</v>
      </c>
      <c r="BG43" s="82">
        <v>0.60099999999999998</v>
      </c>
      <c r="BH43" s="283">
        <f t="shared" si="105"/>
        <v>0.17843137254901964</v>
      </c>
      <c r="BI43" s="284" t="s">
        <v>3</v>
      </c>
      <c r="BJ43" s="82">
        <v>0.52900000000000003</v>
      </c>
      <c r="BK43" s="283">
        <f t="shared" si="107"/>
        <v>-0.11980033277870206</v>
      </c>
      <c r="BL43" s="284" t="s">
        <v>3</v>
      </c>
      <c r="BM43" s="82">
        <v>0.51100000000000001</v>
      </c>
      <c r="BN43" s="283">
        <f t="shared" si="109"/>
        <v>-3.4026465028355379E-2</v>
      </c>
      <c r="BO43" s="285" t="s">
        <v>3</v>
      </c>
      <c r="BP43" s="81">
        <v>0.49099999999999999</v>
      </c>
      <c r="BQ43" s="283">
        <f t="shared" si="112"/>
        <v>-3.9138943248532287E-2</v>
      </c>
      <c r="BR43" s="284">
        <f t="shared" si="113"/>
        <v>-3.7254901960784292E-2</v>
      </c>
      <c r="BS43" s="82">
        <v>0.39300000000000002</v>
      </c>
      <c r="BT43" s="283">
        <f t="shared" si="115"/>
        <v>-0.19959266802443987</v>
      </c>
      <c r="BU43" s="284">
        <f t="shared" si="116"/>
        <v>-0.34608985024958394</v>
      </c>
      <c r="BV43" s="82">
        <v>0.40200000000000002</v>
      </c>
      <c r="BW43" s="283">
        <f t="shared" si="118"/>
        <v>2.2900763358778553E-2</v>
      </c>
      <c r="BX43" s="284">
        <f t="shared" si="119"/>
        <v>-0.24007561436672964</v>
      </c>
      <c r="BY43" s="82">
        <v>0.28799999999999998</v>
      </c>
      <c r="BZ43" s="283">
        <f t="shared" si="121"/>
        <v>-0.28358208955223885</v>
      </c>
      <c r="CA43" s="285">
        <f>BY43/BM43-1</f>
        <v>-0.43639921722113506</v>
      </c>
      <c r="CB43" s="81">
        <v>0.29199999999999998</v>
      </c>
      <c r="CC43" s="283">
        <f>CB43/BY43-1</f>
        <v>1.388888888888884E-2</v>
      </c>
      <c r="CD43" s="284">
        <f>CB43/BP43-1</f>
        <v>-0.40529531568228105</v>
      </c>
      <c r="CE43" s="82">
        <v>0.26400000000000001</v>
      </c>
      <c r="CF43" s="283">
        <f t="shared" si="127"/>
        <v>-9.5890410958904049E-2</v>
      </c>
      <c r="CG43" s="284">
        <f>CE43/BS43-1</f>
        <v>-0.3282442748091603</v>
      </c>
      <c r="CH43" s="82">
        <v>0.23599999999999999</v>
      </c>
      <c r="CI43" s="283">
        <f t="shared" si="129"/>
        <v>-0.10606060606060619</v>
      </c>
      <c r="CJ43" s="284">
        <f>CH43/BV43-1</f>
        <v>-0.4129353233830847</v>
      </c>
      <c r="CK43" s="82">
        <v>0.21976699999999999</v>
      </c>
      <c r="CL43" s="283">
        <f>CK43/CH43-1</f>
        <v>-6.878389830508469E-2</v>
      </c>
      <c r="CM43" s="285">
        <f>CK43/BY43-1</f>
        <v>-0.23692013888888885</v>
      </c>
      <c r="CN43" s="74"/>
      <c r="CO43" s="89"/>
    </row>
    <row r="44" spans="1:93" s="50" customFormat="1" ht="16.2" customHeight="1" x14ac:dyDescent="0.4">
      <c r="A44" s="156">
        <f t="shared" si="134"/>
        <v>18</v>
      </c>
      <c r="B44" s="90" t="s">
        <v>207</v>
      </c>
      <c r="C44" s="91" t="s">
        <v>7</v>
      </c>
      <c r="D44" s="291">
        <v>8.6199999999999992</v>
      </c>
      <c r="E44" s="292">
        <v>9.7100000000000009</v>
      </c>
      <c r="F44" s="292">
        <v>8.52</v>
      </c>
      <c r="G44" s="293">
        <v>8.0180000000000042</v>
      </c>
      <c r="H44" s="294">
        <v>9.83</v>
      </c>
      <c r="I44" s="295">
        <f>H44/G44-1</f>
        <v>0.22599151908206472</v>
      </c>
      <c r="J44" s="296">
        <f>H44/D44-1</f>
        <v>0.1403712296983759</v>
      </c>
      <c r="K44" s="297">
        <v>11.46</v>
      </c>
      <c r="L44" s="295">
        <f>K44/H44-1</f>
        <v>0.16581892166836232</v>
      </c>
      <c r="M44" s="296">
        <f>K44/E44-1</f>
        <v>0.18022657054582902</v>
      </c>
      <c r="N44" s="297">
        <v>11.61</v>
      </c>
      <c r="O44" s="295">
        <f>N44/K44-1</f>
        <v>1.308900523560208E-2</v>
      </c>
      <c r="P44" s="296">
        <f>N44/F44-1</f>
        <v>0.36267605633802824</v>
      </c>
      <c r="Q44" s="297">
        <v>14.581000000000003</v>
      </c>
      <c r="R44" s="295">
        <f>Q44/N44-1</f>
        <v>0.25590008613264459</v>
      </c>
      <c r="S44" s="298">
        <f>Q44/G44-1</f>
        <v>0.81853330007483116</v>
      </c>
      <c r="T44" s="294">
        <v>16.190000000000001</v>
      </c>
      <c r="U44" s="295">
        <f>T44/Q44-1</f>
        <v>0.11034908442493641</v>
      </c>
      <c r="V44" s="296">
        <f>T44/H44-1</f>
        <v>0.64699898270600209</v>
      </c>
      <c r="W44" s="297">
        <v>21.562000000000001</v>
      </c>
      <c r="X44" s="295">
        <f>W44/T44-1</f>
        <v>0.33180975911056199</v>
      </c>
      <c r="Y44" s="296">
        <f>W44/K44-1</f>
        <v>0.88150087260034904</v>
      </c>
      <c r="Z44" s="297">
        <v>21.060957999999996</v>
      </c>
      <c r="AA44" s="295">
        <f>Z44/W44-1</f>
        <v>-2.3237269270012351E-2</v>
      </c>
      <c r="AB44" s="296">
        <f>Z44/N44-1</f>
        <v>0.81403600344530558</v>
      </c>
      <c r="AC44" s="297">
        <v>22.320041999999997</v>
      </c>
      <c r="AD44" s="295">
        <f>AC44/Z44-1</f>
        <v>5.978284558565683E-2</v>
      </c>
      <c r="AE44" s="298">
        <f>AC44/Q44-1</f>
        <v>0.53076208764830901</v>
      </c>
      <c r="AF44" s="294">
        <v>21.425000000000001</v>
      </c>
      <c r="AG44" s="295">
        <f>AF44/AC44-1</f>
        <v>-4.0100372570983311E-2</v>
      </c>
      <c r="AH44" s="296">
        <f>AF44/T44-1</f>
        <v>0.32334774552192713</v>
      </c>
      <c r="AI44" s="297">
        <v>14.594155000000001</v>
      </c>
      <c r="AJ44" s="295">
        <f t="shared" si="89"/>
        <v>-0.31882590431738622</v>
      </c>
      <c r="AK44" s="296">
        <f>AI44/W44-1</f>
        <v>-0.32315392820703093</v>
      </c>
      <c r="AL44" s="297">
        <v>19.564878</v>
      </c>
      <c r="AM44" s="295">
        <f t="shared" si="91"/>
        <v>0.34059683482873782</v>
      </c>
      <c r="AN44" s="296">
        <f>AL44/Z44-1</f>
        <v>-7.1035705023484441E-2</v>
      </c>
      <c r="AO44" s="297">
        <v>20.876967</v>
      </c>
      <c r="AP44" s="295">
        <f t="shared" si="93"/>
        <v>6.7063489994673153E-2</v>
      </c>
      <c r="AQ44" s="298">
        <f>AO44/AC44-1</f>
        <v>-6.4653776189130707E-2</v>
      </c>
      <c r="AR44" s="294">
        <v>21.320568000000002</v>
      </c>
      <c r="AS44" s="295">
        <f>AR44/AO44-1</f>
        <v>2.1248345125994605E-2</v>
      </c>
      <c r="AT44" s="296">
        <f>AR44/AF44-1</f>
        <v>-4.8743057176195981E-3</v>
      </c>
      <c r="AU44" s="297">
        <v>29.488432</v>
      </c>
      <c r="AV44" s="295">
        <f t="shared" si="97"/>
        <v>0.38309786118268496</v>
      </c>
      <c r="AW44" s="296">
        <f>AU44/AI44-1</f>
        <v>1.0205645342262022</v>
      </c>
      <c r="AX44" s="297">
        <v>24.454328999999998</v>
      </c>
      <c r="AY44" s="295">
        <f t="shared" si="99"/>
        <v>-0.17071450255476461</v>
      </c>
      <c r="AZ44" s="296">
        <f>AX44/AL44-1</f>
        <v>0.24990960843200738</v>
      </c>
      <c r="BA44" s="297">
        <v>25.328329000000004</v>
      </c>
      <c r="BB44" s="295">
        <f t="shared" si="101"/>
        <v>3.5740093298000764E-2</v>
      </c>
      <c r="BC44" s="298">
        <f>BA44/AO44-1</f>
        <v>0.21321880711886942</v>
      </c>
      <c r="BD44" s="294">
        <v>35.385999999999996</v>
      </c>
      <c r="BE44" s="295">
        <f>BD44/BA44-1</f>
        <v>0.39709177024666698</v>
      </c>
      <c r="BF44" s="296">
        <f>BD44/AR44-1</f>
        <v>0.65971188009625226</v>
      </c>
      <c r="BG44" s="297">
        <v>32.701000000000001</v>
      </c>
      <c r="BH44" s="295">
        <f t="shared" si="105"/>
        <v>-7.5877465664386912E-2</v>
      </c>
      <c r="BI44" s="296">
        <f>BG44/AU44-1</f>
        <v>0.10894333072711371</v>
      </c>
      <c r="BJ44" s="297">
        <v>33.262999999999998</v>
      </c>
      <c r="BK44" s="295">
        <f t="shared" si="107"/>
        <v>1.7186018776184087E-2</v>
      </c>
      <c r="BL44" s="296">
        <f>BJ44/AX44-1</f>
        <v>0.36020906564232447</v>
      </c>
      <c r="BM44" s="297">
        <v>40.459000000000003</v>
      </c>
      <c r="BN44" s="295">
        <f t="shared" si="109"/>
        <v>0.21633646995159794</v>
      </c>
      <c r="BO44" s="298">
        <f>BM44/BA44-1</f>
        <v>0.5973813353419406</v>
      </c>
      <c r="BP44" s="294">
        <f t="shared" ref="BP44" si="157">BP43+BP37+BP34+BP31+BP28+BP40</f>
        <v>38.972799999999999</v>
      </c>
      <c r="BQ44" s="295">
        <f t="shared" si="112"/>
        <v>-3.6733483279369317E-2</v>
      </c>
      <c r="BR44" s="296">
        <f t="shared" si="113"/>
        <v>0.1013621206126718</v>
      </c>
      <c r="BS44" s="297">
        <f t="shared" ref="BS44" si="158">BS43+BS37+BS34+BS31+BS28+BS40</f>
        <v>45.895000000000003</v>
      </c>
      <c r="BT44" s="295">
        <f t="shared" si="115"/>
        <v>0.17761618359471232</v>
      </c>
      <c r="BU44" s="296">
        <f t="shared" si="116"/>
        <v>0.40347389988073767</v>
      </c>
      <c r="BV44" s="297">
        <f t="shared" ref="BV44" si="159">BV43+BV37+BV34+BV31+BV28+BV40</f>
        <v>48.245000000000005</v>
      </c>
      <c r="BW44" s="295">
        <f t="shared" si="118"/>
        <v>5.1203834840396478E-2</v>
      </c>
      <c r="BX44" s="296">
        <f t="shared" si="119"/>
        <v>0.45041036587199001</v>
      </c>
      <c r="BY44" s="297">
        <f t="shared" ref="BY44" si="160">BY43+BY37+BY34+BY31+BY28+BY40</f>
        <v>47.003</v>
      </c>
      <c r="BZ44" s="295">
        <f t="shared" si="121"/>
        <v>-2.5743600373095754E-2</v>
      </c>
      <c r="CA44" s="298">
        <f t="shared" ref="CA44:CA46" si="161">BY44/BM44-1</f>
        <v>0.16174398774067567</v>
      </c>
      <c r="CB44" s="294">
        <f t="shared" ref="CB44" si="162">CB43+CB37+CB34+CB31+CB28+CB40</f>
        <v>50.379000000000005</v>
      </c>
      <c r="CC44" s="295">
        <f>CB44/BY44-1</f>
        <v>7.1825202646639719E-2</v>
      </c>
      <c r="CD44" s="296">
        <f>CB44/BP44-1</f>
        <v>0.29267078577879979</v>
      </c>
      <c r="CE44" s="297">
        <f t="shared" ref="CE44" si="163">CE43+CE37+CE34+CE31+CE28+CE40</f>
        <v>58.686920000000001</v>
      </c>
      <c r="CF44" s="295">
        <f t="shared" si="127"/>
        <v>0.16490839437067017</v>
      </c>
      <c r="CG44" s="296">
        <f>CE44/BS44-1</f>
        <v>0.27872142934960231</v>
      </c>
      <c r="CH44" s="297">
        <f>CH43+CH37+CH34+CH31+CH28+CH40</f>
        <v>59.411999999999999</v>
      </c>
      <c r="CI44" s="295">
        <f t="shared" si="129"/>
        <v>1.2355052880607786E-2</v>
      </c>
      <c r="CJ44" s="296">
        <f>CH44/BV44-1</f>
        <v>0.23146440045600558</v>
      </c>
      <c r="CK44" s="297">
        <f>CK4</f>
        <v>74.403832253000004</v>
      </c>
      <c r="CL44" s="295">
        <f>CK44/CH44-1</f>
        <v>0.25233677124150011</v>
      </c>
      <c r="CM44" s="298">
        <f>CK44/BY44-1</f>
        <v>0.58295922075186701</v>
      </c>
      <c r="CN44" s="74"/>
    </row>
    <row r="45" spans="1:93" s="89" customFormat="1" ht="16.2" customHeight="1" x14ac:dyDescent="0.4">
      <c r="A45" s="156">
        <f t="shared" si="134"/>
        <v>19</v>
      </c>
      <c r="B45" s="83" t="s">
        <v>204</v>
      </c>
      <c r="C45" s="84" t="s">
        <v>406</v>
      </c>
      <c r="D45" s="286">
        <v>6.42</v>
      </c>
      <c r="E45" s="287">
        <v>6.78</v>
      </c>
      <c r="F45" s="287">
        <v>5.22</v>
      </c>
      <c r="G45" s="288">
        <v>5.0910000000000002</v>
      </c>
      <c r="H45" s="289">
        <v>6.23</v>
      </c>
      <c r="I45" s="251">
        <f>H45/G45-1</f>
        <v>0.22372814771164795</v>
      </c>
      <c r="J45" s="252">
        <f>H45/D45-1</f>
        <v>-2.9595015576323935E-2</v>
      </c>
      <c r="K45" s="290">
        <v>7.53</v>
      </c>
      <c r="L45" s="251">
        <f>K45/H45-1</f>
        <v>0.2086677367576244</v>
      </c>
      <c r="M45" s="252">
        <f>K45/E45-1</f>
        <v>0.11061946902654873</v>
      </c>
      <c r="N45" s="290">
        <v>6.38</v>
      </c>
      <c r="O45" s="251">
        <f>N45/K45-1</f>
        <v>-0.15272244355909703</v>
      </c>
      <c r="P45" s="252">
        <f>N45/F45-1</f>
        <v>0.22222222222222232</v>
      </c>
      <c r="Q45" s="290">
        <v>7.4009999999999989</v>
      </c>
      <c r="R45" s="251">
        <f>Q45/N45-1</f>
        <v>0.16003134796238228</v>
      </c>
      <c r="S45" s="253">
        <f>Q45/G45-1</f>
        <v>0.45374189746611648</v>
      </c>
      <c r="T45" s="289">
        <v>8.5350000000000001</v>
      </c>
      <c r="U45" s="251">
        <f>T45/Q45-1</f>
        <v>0.1532225374949332</v>
      </c>
      <c r="V45" s="252">
        <f>T45/H45-1</f>
        <v>0.369983948635634</v>
      </c>
      <c r="W45" s="290">
        <v>10.545999999999999</v>
      </c>
      <c r="X45" s="251">
        <f>W45/T45-1</f>
        <v>0.23561804335090786</v>
      </c>
      <c r="Y45" s="252">
        <f>W45/K45-1</f>
        <v>0.40053120849933577</v>
      </c>
      <c r="Z45" s="290">
        <v>11.055856000000002</v>
      </c>
      <c r="AA45" s="251">
        <f>Z45/W45-1</f>
        <v>4.834591314242398E-2</v>
      </c>
      <c r="AB45" s="252">
        <f>Z45/N45-1</f>
        <v>0.73289278996865237</v>
      </c>
      <c r="AC45" s="290">
        <v>11.033144</v>
      </c>
      <c r="AD45" s="251">
        <f>AC45/Z45-1</f>
        <v>-2.0542959314956422E-3</v>
      </c>
      <c r="AE45" s="253">
        <f>AC45/Q45-1</f>
        <v>0.49076395081745727</v>
      </c>
      <c r="AF45" s="289">
        <v>12.631</v>
      </c>
      <c r="AG45" s="251">
        <f>AF45/AC45-1</f>
        <v>0.14482327068331569</v>
      </c>
      <c r="AH45" s="252">
        <f>AF45/T45-1</f>
        <v>0.47990626830697125</v>
      </c>
      <c r="AI45" s="290">
        <v>5.3888639999999999</v>
      </c>
      <c r="AJ45" s="251">
        <f t="shared" si="89"/>
        <v>-0.57336204576043071</v>
      </c>
      <c r="AK45" s="252">
        <f>AI45/W45-1</f>
        <v>-0.48901346482078512</v>
      </c>
      <c r="AL45" s="290">
        <v>11.120165</v>
      </c>
      <c r="AM45" s="251">
        <f t="shared" si="91"/>
        <v>1.0635453037968672</v>
      </c>
      <c r="AN45" s="252">
        <f>AL45/Z45-1</f>
        <v>5.8167363974348518E-3</v>
      </c>
      <c r="AO45" s="290">
        <v>12.759971</v>
      </c>
      <c r="AP45" s="251">
        <f t="shared" si="93"/>
        <v>0.14746238027942926</v>
      </c>
      <c r="AQ45" s="253">
        <f>AO45/AC45-1</f>
        <v>0.15651268577660193</v>
      </c>
      <c r="AR45" s="289">
        <v>13.63148</v>
      </c>
      <c r="AS45" s="251">
        <f>AR45/AO45-1</f>
        <v>6.8300233597709648E-2</v>
      </c>
      <c r="AT45" s="252">
        <f>AR45/AF45-1</f>
        <v>7.9208297046947873E-2</v>
      </c>
      <c r="AU45" s="290">
        <v>20.315197000000001</v>
      </c>
      <c r="AV45" s="251">
        <f t="shared" si="97"/>
        <v>0.4903148447564023</v>
      </c>
      <c r="AW45" s="252">
        <f>AU45/AI45-1</f>
        <v>2.7698477823897583</v>
      </c>
      <c r="AX45" s="290">
        <v>17.570322999999998</v>
      </c>
      <c r="AY45" s="251">
        <f t="shared" si="99"/>
        <v>-0.1351143186059186</v>
      </c>
      <c r="AZ45" s="252">
        <f>AX45/AL45-1</f>
        <v>0.58004157312413973</v>
      </c>
      <c r="BA45" s="290">
        <v>18.662000000000006</v>
      </c>
      <c r="BB45" s="251">
        <f t="shared" si="101"/>
        <v>6.2131868605944662E-2</v>
      </c>
      <c r="BC45" s="253">
        <f>BA45/AO45-1</f>
        <v>0.46254250891322601</v>
      </c>
      <c r="BD45" s="289">
        <v>19.264999999999997</v>
      </c>
      <c r="BE45" s="251">
        <f>BD45/BA45-1</f>
        <v>3.2311649340906134E-2</v>
      </c>
      <c r="BF45" s="252">
        <f>BD45/AR45-1</f>
        <v>0.41327280676786349</v>
      </c>
      <c r="BG45" s="290">
        <v>19.452000000000002</v>
      </c>
      <c r="BH45" s="251">
        <f t="shared" si="105"/>
        <v>9.7067220347784033E-3</v>
      </c>
      <c r="BI45" s="252">
        <f>BG45/AU45-1</f>
        <v>-4.2490210653630345E-2</v>
      </c>
      <c r="BJ45" s="290">
        <v>22.859000000000002</v>
      </c>
      <c r="BK45" s="251">
        <f t="shared" si="107"/>
        <v>0.17514908492699988</v>
      </c>
      <c r="BL45" s="252">
        <f>BJ45/AX45-1</f>
        <v>0.30100055644964541</v>
      </c>
      <c r="BM45" s="290">
        <v>25.853000000000002</v>
      </c>
      <c r="BN45" s="251">
        <f t="shared" si="109"/>
        <v>0.13097685813027682</v>
      </c>
      <c r="BO45" s="253">
        <f>BM45/BA45-1</f>
        <v>0.38532847497588651</v>
      </c>
      <c r="BP45" s="289">
        <f t="shared" ref="BP45" si="164">BP38+BP35+BP32+BP29+BP41</f>
        <v>24.043100000000003</v>
      </c>
      <c r="BQ45" s="251">
        <f t="shared" si="112"/>
        <v>-7.0007349243801476E-2</v>
      </c>
      <c r="BR45" s="252">
        <f t="shared" si="113"/>
        <v>0.2480197248896967</v>
      </c>
      <c r="BS45" s="290">
        <f t="shared" ref="BS45" si="165">BS38+BS35+BS32+BS29+BS41</f>
        <v>31.25</v>
      </c>
      <c r="BT45" s="251">
        <f t="shared" si="115"/>
        <v>0.29974920039429187</v>
      </c>
      <c r="BU45" s="252">
        <f t="shared" si="116"/>
        <v>0.60651860991157713</v>
      </c>
      <c r="BV45" s="290">
        <f t="shared" ref="BV45" si="166">BV38+BV35+BV32+BV29+BV41</f>
        <v>31.035000000000004</v>
      </c>
      <c r="BW45" s="251">
        <f t="shared" si="118"/>
        <v>-6.8799999999998862E-3</v>
      </c>
      <c r="BX45" s="252">
        <f t="shared" si="119"/>
        <v>0.3576709392361872</v>
      </c>
      <c r="BY45" s="290">
        <f t="shared" ref="BY45" si="167">BY38+BY35+BY32+BY29+BY41</f>
        <v>30.729999999999997</v>
      </c>
      <c r="BZ45" s="251">
        <f t="shared" si="121"/>
        <v>-9.8276139842116139E-3</v>
      </c>
      <c r="CA45" s="253">
        <f t="shared" si="161"/>
        <v>0.18864348431516631</v>
      </c>
      <c r="CB45" s="289">
        <f t="shared" ref="CB45" si="168">CB38+CB35+CB32+CB29+CB41</f>
        <v>33.649000000000001</v>
      </c>
      <c r="CC45" s="251">
        <f>CB45/BY45-1</f>
        <v>9.4988610478360158E-2</v>
      </c>
      <c r="CD45" s="252">
        <f>CB45/BP45-1</f>
        <v>0.39952834701016071</v>
      </c>
      <c r="CE45" s="290">
        <f t="shared" ref="CE45" si="169">CE38+CE35+CE32+CE29+CE41</f>
        <v>40.310200000000002</v>
      </c>
      <c r="CF45" s="251">
        <f t="shared" si="127"/>
        <v>0.19796130642812559</v>
      </c>
      <c r="CG45" s="252">
        <f>CE45/BS45-1</f>
        <v>0.28992640000000014</v>
      </c>
      <c r="CH45" s="290">
        <f>CH38+CH35+CH32+CH29+CH41</f>
        <v>40.222999999999999</v>
      </c>
      <c r="CI45" s="251">
        <f t="shared" si="129"/>
        <v>-2.1632241963572829E-3</v>
      </c>
      <c r="CJ45" s="252">
        <f>CH45/BV45-1</f>
        <v>0.29605284356371819</v>
      </c>
      <c r="CK45" s="290">
        <f t="shared" ref="CK45" si="170">CK38+CK35+CK32+CK29+CK41</f>
        <v>49.557456999999999</v>
      </c>
      <c r="CL45" s="251">
        <f t="shared" si="135"/>
        <v>0.23206764786316292</v>
      </c>
      <c r="CM45" s="253">
        <f>CK45/BY45-1</f>
        <v>0.61267351122681424</v>
      </c>
      <c r="CN45" s="74"/>
    </row>
    <row r="46" spans="1:93" ht="16.2" customHeight="1" thickBot="1" x14ac:dyDescent="0.45">
      <c r="A46" s="156">
        <f t="shared" si="134"/>
        <v>20</v>
      </c>
      <c r="B46" s="83" t="s">
        <v>205</v>
      </c>
      <c r="C46" s="84" t="s">
        <v>407</v>
      </c>
      <c r="D46" s="299">
        <v>2.2000000000000002</v>
      </c>
      <c r="E46" s="300">
        <v>2.93</v>
      </c>
      <c r="F46" s="300">
        <v>3.3</v>
      </c>
      <c r="G46" s="301">
        <v>2.9270000000000005</v>
      </c>
      <c r="H46" s="302">
        <v>3.6</v>
      </c>
      <c r="I46" s="303">
        <f>H46/G46-1</f>
        <v>0.22992825418517238</v>
      </c>
      <c r="J46" s="304">
        <f>H46/D46-1</f>
        <v>0.63636363636363624</v>
      </c>
      <c r="K46" s="305">
        <v>3.93</v>
      </c>
      <c r="L46" s="303">
        <f>K46/H46-1</f>
        <v>9.1666666666666785E-2</v>
      </c>
      <c r="M46" s="304">
        <f>K46/E46-1</f>
        <v>0.34129692832764502</v>
      </c>
      <c r="N46" s="305">
        <v>5.23</v>
      </c>
      <c r="O46" s="303">
        <f>N46/K46-1</f>
        <v>0.33078880407124678</v>
      </c>
      <c r="P46" s="304">
        <f>N46/F46-1</f>
        <v>0.58484848484848517</v>
      </c>
      <c r="Q46" s="305">
        <v>7.18</v>
      </c>
      <c r="R46" s="303">
        <f>Q46/N46-1</f>
        <v>0.37284894837476079</v>
      </c>
      <c r="S46" s="306">
        <f>Q46/G46-1</f>
        <v>1.4530235736248716</v>
      </c>
      <c r="T46" s="302">
        <v>7.6550000000000002</v>
      </c>
      <c r="U46" s="303">
        <f>T46/Q46-1</f>
        <v>6.615598885793883E-2</v>
      </c>
      <c r="V46" s="304">
        <f>T46/H46-1</f>
        <v>1.1263888888888891</v>
      </c>
      <c r="W46" s="305">
        <v>11.016000000000002</v>
      </c>
      <c r="X46" s="303">
        <f>W46/T46-1</f>
        <v>0.43905943827563698</v>
      </c>
      <c r="Y46" s="304">
        <f>W46/K46-1</f>
        <v>1.8030534351145042</v>
      </c>
      <c r="Z46" s="305">
        <v>9.9501930000000023</v>
      </c>
      <c r="AA46" s="303">
        <f>Z46/W46-1</f>
        <v>-9.6750816993463995E-2</v>
      </c>
      <c r="AB46" s="304">
        <f>Z46/N46-1</f>
        <v>0.90252256214149162</v>
      </c>
      <c r="AC46" s="305">
        <v>11.286897999999997</v>
      </c>
      <c r="AD46" s="303">
        <f>AC46/Z46-1</f>
        <v>0.13433960527197764</v>
      </c>
      <c r="AE46" s="306">
        <f>AC46/Q46-1</f>
        <v>0.57199136490250657</v>
      </c>
      <c r="AF46" s="302">
        <v>8.7940000000000005</v>
      </c>
      <c r="AG46" s="303">
        <f>AF46/AC46-1</f>
        <v>-0.2208665303788514</v>
      </c>
      <c r="AH46" s="304">
        <f>AF46/T46-1</f>
        <v>0.14879163945133911</v>
      </c>
      <c r="AI46" s="305">
        <v>9.2052910000000008</v>
      </c>
      <c r="AJ46" s="303">
        <f t="shared" si="89"/>
        <v>4.6769501933136226E-2</v>
      </c>
      <c r="AK46" s="304">
        <f>AI46/W46-1</f>
        <v>-0.16437082425562821</v>
      </c>
      <c r="AL46" s="305">
        <v>8.4447130000000001</v>
      </c>
      <c r="AM46" s="303">
        <f t="shared" si="91"/>
        <v>-8.2624003955985792E-2</v>
      </c>
      <c r="AN46" s="304">
        <f>AL46/Z46-1</f>
        <v>-0.15130158781844749</v>
      </c>
      <c r="AO46" s="305">
        <v>8.1169960000000003</v>
      </c>
      <c r="AP46" s="303">
        <f t="shared" si="93"/>
        <v>-3.880735792915635E-2</v>
      </c>
      <c r="AQ46" s="306">
        <f>AO46/AC46-1</f>
        <v>-0.28084793536718389</v>
      </c>
      <c r="AR46" s="302">
        <v>7.6890879999999999</v>
      </c>
      <c r="AS46" s="303">
        <f>AR46/AO46-1</f>
        <v>-5.2717532446732829E-2</v>
      </c>
      <c r="AT46" s="304">
        <f>AR46/AF46-1</f>
        <v>-0.12564384807823525</v>
      </c>
      <c r="AU46" s="305">
        <v>9.1745769999999993</v>
      </c>
      <c r="AV46" s="303">
        <f t="shared" si="97"/>
        <v>0.19319443346206988</v>
      </c>
      <c r="AW46" s="304">
        <f>AU46/AI46-1</f>
        <v>-3.3365593765587453E-3</v>
      </c>
      <c r="AX46" s="305">
        <v>6.8840059999999994</v>
      </c>
      <c r="AY46" s="303">
        <f t="shared" si="99"/>
        <v>-0.24966502542842028</v>
      </c>
      <c r="AZ46" s="304">
        <f>AX46/AL46-1</f>
        <v>-0.18481468819603464</v>
      </c>
      <c r="BA46" s="305">
        <v>6.6663289999999984</v>
      </c>
      <c r="BB46" s="303">
        <f t="shared" si="101"/>
        <v>-3.162068714059818E-2</v>
      </c>
      <c r="BC46" s="306">
        <f>BA46/AO46-1</f>
        <v>-0.1787196889095426</v>
      </c>
      <c r="BD46" s="302">
        <v>16.121000000000002</v>
      </c>
      <c r="BE46" s="303">
        <f>BD46/BA46-1</f>
        <v>1.4182724855013915</v>
      </c>
      <c r="BF46" s="304">
        <f>BD46/AR46-1</f>
        <v>1.0966075560586641</v>
      </c>
      <c r="BG46" s="305">
        <v>13.239000000000001</v>
      </c>
      <c r="BH46" s="303">
        <f t="shared" si="105"/>
        <v>-0.1787730289684264</v>
      </c>
      <c r="BI46" s="304">
        <f>BG46/AU46-1</f>
        <v>0.4430093071320893</v>
      </c>
      <c r="BJ46" s="305">
        <v>10.404</v>
      </c>
      <c r="BK46" s="303">
        <f t="shared" si="107"/>
        <v>-0.21414004078857929</v>
      </c>
      <c r="BL46" s="304">
        <f>BJ46/AX46-1</f>
        <v>0.51132930447765457</v>
      </c>
      <c r="BM46" s="305">
        <v>14.606000000000002</v>
      </c>
      <c r="BN46" s="303">
        <f t="shared" si="109"/>
        <v>0.40388312187620157</v>
      </c>
      <c r="BO46" s="306">
        <f>BM46/BA46-1</f>
        <v>1.1910109747058697</v>
      </c>
      <c r="BP46" s="302">
        <f t="shared" ref="BP46" si="171">BP39+BP36+BP33+BP30+BP43+BP42</f>
        <v>14.9297</v>
      </c>
      <c r="BQ46" s="303">
        <f t="shared" si="112"/>
        <v>2.2162125154046253E-2</v>
      </c>
      <c r="BR46" s="304">
        <f t="shared" si="113"/>
        <v>-7.3897400905651112E-2</v>
      </c>
      <c r="BS46" s="305">
        <f t="shared" ref="BS46" si="172">BS39+BS36+BS33+BS30+BS43+BS42</f>
        <v>14.645000000000001</v>
      </c>
      <c r="BT46" s="303">
        <f t="shared" si="115"/>
        <v>-1.9069371789118272E-2</v>
      </c>
      <c r="BU46" s="304">
        <f t="shared" si="116"/>
        <v>0.10620137472618785</v>
      </c>
      <c r="BV46" s="305">
        <f t="shared" ref="BV46" si="173">BV39+BV36+BV33+BV30+BV43+BV42</f>
        <v>17.21</v>
      </c>
      <c r="BW46" s="303">
        <f t="shared" si="118"/>
        <v>0.17514510071696821</v>
      </c>
      <c r="BX46" s="304">
        <f t="shared" si="119"/>
        <v>0.65417147251057295</v>
      </c>
      <c r="BY46" s="305">
        <f t="shared" ref="BY46" si="174">BY39+BY36+BY33+BY30+BY43+BY42</f>
        <v>16.273</v>
      </c>
      <c r="BZ46" s="303">
        <f t="shared" si="121"/>
        <v>-5.4445090063916401E-2</v>
      </c>
      <c r="CA46" s="306">
        <f t="shared" si="161"/>
        <v>0.11413117896754743</v>
      </c>
      <c r="CB46" s="302">
        <f t="shared" ref="CB46" si="175">CB39+CB36+CB33+CB30+CB43+CB42</f>
        <v>16.73</v>
      </c>
      <c r="CC46" s="303">
        <f>CB46/BY46-1</f>
        <v>2.8083328212376468E-2</v>
      </c>
      <c r="CD46" s="304">
        <f>CB46/BP46-1</f>
        <v>0.12058514236722773</v>
      </c>
      <c r="CE46" s="305">
        <f t="shared" ref="CE46" si="176">CE39+CE36+CE33+CE30+CE43+CE42</f>
        <v>18.376719999999999</v>
      </c>
      <c r="CF46" s="303">
        <f t="shared" si="127"/>
        <v>9.8429169157202567E-2</v>
      </c>
      <c r="CG46" s="304">
        <f>CE46/BS46-1</f>
        <v>0.25481188118811859</v>
      </c>
      <c r="CH46" s="305">
        <f>CH39+CH36+CH33+CH30+CH43+CH42</f>
        <v>19.189</v>
      </c>
      <c r="CI46" s="303">
        <f t="shared" si="129"/>
        <v>4.4201576777575191E-2</v>
      </c>
      <c r="CJ46" s="304">
        <f>CH46/BV46-1</f>
        <v>0.11499128413712945</v>
      </c>
      <c r="CK46" s="305">
        <f>CK39+CK36+CK33+CK30+CK43+CK42</f>
        <v>24.846373</v>
      </c>
      <c r="CL46" s="303">
        <f t="shared" si="135"/>
        <v>0.29482375319193288</v>
      </c>
      <c r="CM46" s="306">
        <f>CK46/BY46-1</f>
        <v>0.5268464941928348</v>
      </c>
      <c r="CN46" s="74"/>
    </row>
    <row r="47" spans="1:93" ht="16.2" customHeight="1" thickBot="1" x14ac:dyDescent="0.45">
      <c r="A47" s="156">
        <f t="shared" si="134"/>
        <v>21</v>
      </c>
      <c r="B47" s="145" t="s">
        <v>208</v>
      </c>
      <c r="C47" s="146" t="s">
        <v>8</v>
      </c>
      <c r="D47" s="307">
        <v>0.16800000000000001</v>
      </c>
      <c r="E47" s="308">
        <v>0.47899999999999998</v>
      </c>
      <c r="F47" s="308">
        <v>0.28000000000000003</v>
      </c>
      <c r="G47" s="309">
        <v>0.7609999999999999</v>
      </c>
      <c r="H47" s="310">
        <v>0.63100000000000001</v>
      </c>
      <c r="I47" s="311">
        <f>H47/G47-1</f>
        <v>-0.17082785808147161</v>
      </c>
      <c r="J47" s="312">
        <f>H47/D47-1</f>
        <v>2.7559523809523809</v>
      </c>
      <c r="K47" s="313">
        <v>0.95700000000000007</v>
      </c>
      <c r="L47" s="311">
        <f>K47/H47-1</f>
        <v>0.51664025356576881</v>
      </c>
      <c r="M47" s="312">
        <f>K47/E47-1</f>
        <v>0.99791231732776642</v>
      </c>
      <c r="N47" s="313">
        <v>1.0960000000000001</v>
      </c>
      <c r="O47" s="311">
        <f>N47/K47-1</f>
        <v>0.14524555903866254</v>
      </c>
      <c r="P47" s="312">
        <f>N47/F47-1</f>
        <v>2.9142857142857141</v>
      </c>
      <c r="Q47" s="313">
        <v>1.4790000000000003</v>
      </c>
      <c r="R47" s="311">
        <f>Q47/N47-1</f>
        <v>0.34945255474452575</v>
      </c>
      <c r="S47" s="314">
        <f>Q47/G47-1</f>
        <v>0.94349540078843686</v>
      </c>
      <c r="T47" s="310">
        <v>1.2030000000000001</v>
      </c>
      <c r="U47" s="311">
        <f>T47/Q47-1</f>
        <v>-0.18661257606490889</v>
      </c>
      <c r="V47" s="312">
        <f>T47/H47-1</f>
        <v>0.90649762282091917</v>
      </c>
      <c r="W47" s="313">
        <v>2.3109999999999999</v>
      </c>
      <c r="X47" s="311">
        <f>W47/T47-1</f>
        <v>0.92103075644222754</v>
      </c>
      <c r="Y47" s="312">
        <f>W47/K47-1</f>
        <v>1.4148380355276906</v>
      </c>
      <c r="Z47" s="313">
        <v>3.3739999999999997</v>
      </c>
      <c r="AA47" s="311">
        <f>Z47/W47-1</f>
        <v>0.45997403721332741</v>
      </c>
      <c r="AB47" s="312">
        <f>Z47/N47-1</f>
        <v>2.078467153284671</v>
      </c>
      <c r="AC47" s="313">
        <v>2.4550000000000001</v>
      </c>
      <c r="AD47" s="311">
        <f>AC47/Z47-1</f>
        <v>-0.27237700059276815</v>
      </c>
      <c r="AE47" s="314">
        <f>AC47/Q47-1</f>
        <v>0.65990534144692337</v>
      </c>
      <c r="AF47" s="310">
        <v>3.2469999999999999</v>
      </c>
      <c r="AG47" s="311">
        <f>AF47/AC47-1</f>
        <v>0.32260692464358454</v>
      </c>
      <c r="AH47" s="312">
        <f>AF47/T47-1</f>
        <v>1.6990856192851203</v>
      </c>
      <c r="AI47" s="313">
        <v>0.37400000000000011</v>
      </c>
      <c r="AJ47" s="311">
        <f t="shared" si="89"/>
        <v>-0.88481675392670156</v>
      </c>
      <c r="AK47" s="312">
        <f>AI47/W47-1</f>
        <v>-0.83816529640848114</v>
      </c>
      <c r="AL47" s="313">
        <v>2.4000000000000004</v>
      </c>
      <c r="AM47" s="311">
        <f t="shared" si="91"/>
        <v>5.4171122994652396</v>
      </c>
      <c r="AN47" s="312">
        <f>AL47/Z47-1</f>
        <v>-0.28867812685240057</v>
      </c>
      <c r="AO47" s="313">
        <v>3.1939999999999991</v>
      </c>
      <c r="AP47" s="311">
        <f t="shared" si="93"/>
        <v>0.33083333333333265</v>
      </c>
      <c r="AQ47" s="314">
        <f>AO47/AC47-1</f>
        <v>0.30101832993889976</v>
      </c>
      <c r="AR47" s="310">
        <v>2.137</v>
      </c>
      <c r="AS47" s="311">
        <f>AR47/AO47-1</f>
        <v>-0.3309329993738257</v>
      </c>
      <c r="AT47" s="312">
        <f>AR47/AF47-1</f>
        <v>-0.34185401909454882</v>
      </c>
      <c r="AU47" s="313">
        <v>2.6</v>
      </c>
      <c r="AV47" s="311">
        <f t="shared" si="97"/>
        <v>0.21665886757136166</v>
      </c>
      <c r="AW47" s="312">
        <f>AU47/AI47-1</f>
        <v>5.9518716577540092</v>
      </c>
      <c r="AX47" s="313">
        <v>4.5999999999999996</v>
      </c>
      <c r="AY47" s="311">
        <f t="shared" si="99"/>
        <v>0.76923076923076894</v>
      </c>
      <c r="AZ47" s="312">
        <f>AX47/AL47-1</f>
        <v>0.9166666666666663</v>
      </c>
      <c r="BA47" s="313">
        <v>4.2840000000000007</v>
      </c>
      <c r="BB47" s="311">
        <f t="shared" si="101"/>
        <v>-6.8695652173912825E-2</v>
      </c>
      <c r="BC47" s="314">
        <f>BA47/AO47-1</f>
        <v>0.34126487163431496</v>
      </c>
      <c r="BD47" s="310">
        <v>5.0670000000000002</v>
      </c>
      <c r="BE47" s="311">
        <f>BD47/BA47-1</f>
        <v>0.18277310924369727</v>
      </c>
      <c r="BF47" s="312">
        <f>BD47/AR47-1</f>
        <v>1.3710809546092655</v>
      </c>
      <c r="BG47" s="313">
        <v>4</v>
      </c>
      <c r="BH47" s="311">
        <f t="shared" si="105"/>
        <v>-0.21057825143082698</v>
      </c>
      <c r="BI47" s="312">
        <f>BG47/AU47-1</f>
        <v>0.53846153846153832</v>
      </c>
      <c r="BJ47" s="313">
        <v>7.7</v>
      </c>
      <c r="BK47" s="311">
        <f t="shared" si="107"/>
        <v>0.92500000000000004</v>
      </c>
      <c r="BL47" s="312">
        <f>BJ47/AX47-1</f>
        <v>0.67391304347826098</v>
      </c>
      <c r="BM47" s="313">
        <v>9.9</v>
      </c>
      <c r="BN47" s="311">
        <f t="shared" si="109"/>
        <v>0.28571428571428581</v>
      </c>
      <c r="BO47" s="314">
        <f>BM47/BA47-1</f>
        <v>1.3109243697478989</v>
      </c>
      <c r="BP47" s="310">
        <v>9.1059999999999999</v>
      </c>
      <c r="BQ47" s="311">
        <f t="shared" si="112"/>
        <v>-8.0202020202020274E-2</v>
      </c>
      <c r="BR47" s="312">
        <f t="shared" si="113"/>
        <v>0.79711861061772238</v>
      </c>
      <c r="BS47" s="313">
        <v>13.492000000000001</v>
      </c>
      <c r="BT47" s="311">
        <f t="shared" si="115"/>
        <v>0.48166044366351857</v>
      </c>
      <c r="BU47" s="312">
        <f t="shared" si="116"/>
        <v>2.3730000000000002</v>
      </c>
      <c r="BV47" s="313">
        <v>13.693865999999998</v>
      </c>
      <c r="BW47" s="311">
        <f t="shared" si="118"/>
        <v>1.4961903350133143E-2</v>
      </c>
      <c r="BX47" s="312">
        <f t="shared" si="119"/>
        <v>0.77842415584415559</v>
      </c>
      <c r="BY47" s="313">
        <v>9.41</v>
      </c>
      <c r="BZ47" s="311">
        <f t="shared" si="121"/>
        <v>-0.31283101499605726</v>
      </c>
      <c r="CA47" s="314">
        <f>BY47/BM47-1</f>
        <v>-4.9494949494949481E-2</v>
      </c>
      <c r="CB47" s="310">
        <v>11.423</v>
      </c>
      <c r="CC47" s="311">
        <f>CB47/BY47-1</f>
        <v>0.21392136025504782</v>
      </c>
      <c r="CD47" s="312">
        <f>CB47/BP47-1</f>
        <v>0.25444761695585338</v>
      </c>
      <c r="CE47" s="313">
        <v>11.747999999999999</v>
      </c>
      <c r="CF47" s="311">
        <f t="shared" si="127"/>
        <v>2.8451370042895885E-2</v>
      </c>
      <c r="CG47" s="312">
        <f>CE47/BS47-1</f>
        <v>-0.1292617847613402</v>
      </c>
      <c r="CH47" s="313">
        <v>13.792999999999999</v>
      </c>
      <c r="CI47" s="311">
        <f t="shared" si="129"/>
        <v>0.17407218249914869</v>
      </c>
      <c r="CJ47" s="312">
        <f>CH47/BV47-1</f>
        <v>7.2392996981276436E-3</v>
      </c>
      <c r="CK47" s="313">
        <v>9.9740000000000002</v>
      </c>
      <c r="CL47" s="311">
        <f t="shared" si="135"/>
        <v>-0.27687957659682438</v>
      </c>
      <c r="CM47" s="314">
        <f>CK47/BY47-1</f>
        <v>5.9936238044633328E-2</v>
      </c>
      <c r="CN47" s="74"/>
    </row>
    <row r="48" spans="1:93" ht="16.2" customHeight="1" thickBot="1" x14ac:dyDescent="0.45">
      <c r="A48" s="156">
        <f t="shared" si="134"/>
        <v>22</v>
      </c>
      <c r="B48" s="145" t="s">
        <v>232</v>
      </c>
      <c r="C48" s="146" t="s">
        <v>216</v>
      </c>
      <c r="D48" s="307">
        <v>1154.2774193548389</v>
      </c>
      <c r="E48" s="308">
        <v>1129.4266666666667</v>
      </c>
      <c r="F48" s="308">
        <v>1132.2375000000002</v>
      </c>
      <c r="G48" s="309">
        <v>1105.7155172413795</v>
      </c>
      <c r="H48" s="310">
        <v>1072.2868852459017</v>
      </c>
      <c r="I48" s="311"/>
      <c r="J48" s="312"/>
      <c r="K48" s="313">
        <v>1078.5650000000001</v>
      </c>
      <c r="L48" s="311"/>
      <c r="M48" s="312"/>
      <c r="N48" s="313">
        <v>1121.5918032786883</v>
      </c>
      <c r="O48" s="311"/>
      <c r="P48" s="312"/>
      <c r="Q48" s="313">
        <v>1127.5206349206353</v>
      </c>
      <c r="R48" s="311"/>
      <c r="S48" s="314"/>
      <c r="T48" s="310">
        <v>1125.0847457627119</v>
      </c>
      <c r="U48" s="311"/>
      <c r="V48" s="312"/>
      <c r="W48" s="313">
        <v>1165.9145161290319</v>
      </c>
      <c r="X48" s="311"/>
      <c r="Y48" s="312"/>
      <c r="Z48" s="313">
        <v>1193.2380952380954</v>
      </c>
      <c r="AA48" s="311"/>
      <c r="AB48" s="312"/>
      <c r="AC48" s="313">
        <v>1175.8095238095239</v>
      </c>
      <c r="AD48" s="311"/>
      <c r="AE48" s="314"/>
      <c r="AF48" s="310">
        <v>1193.6000000000001</v>
      </c>
      <c r="AG48" s="311"/>
      <c r="AH48" s="312"/>
      <c r="AI48" s="313">
        <v>1220.8114754098358</v>
      </c>
      <c r="AJ48" s="311"/>
      <c r="AK48" s="312"/>
      <c r="AL48" s="313">
        <v>1188.5374999999999</v>
      </c>
      <c r="AM48" s="311"/>
      <c r="AN48" s="312"/>
      <c r="AO48" s="313">
        <v>1117.6435483870966</v>
      </c>
      <c r="AP48" s="311"/>
      <c r="AQ48" s="314"/>
      <c r="AR48" s="310">
        <v>1114.0516666666667</v>
      </c>
      <c r="AS48" s="311"/>
      <c r="AT48" s="312"/>
      <c r="AU48" s="313">
        <v>1121.2349206349206</v>
      </c>
      <c r="AV48" s="311"/>
      <c r="AW48" s="312"/>
      <c r="AX48" s="313">
        <v>1157.3548387096773</v>
      </c>
      <c r="AY48" s="311"/>
      <c r="AZ48" s="312"/>
      <c r="BA48" s="313">
        <v>1183.1671874999997</v>
      </c>
      <c r="BB48" s="311"/>
      <c r="BC48" s="314"/>
      <c r="BD48" s="310">
        <v>1204.9457627118643</v>
      </c>
      <c r="BE48" s="311"/>
      <c r="BF48" s="312"/>
      <c r="BG48" s="313">
        <v>1259.5725806451612</v>
      </c>
      <c r="BH48" s="311"/>
      <c r="BI48" s="312"/>
      <c r="BJ48" s="313">
        <v>1337.9809523809524</v>
      </c>
      <c r="BK48" s="311"/>
      <c r="BL48" s="312"/>
      <c r="BM48" s="313">
        <v>1359.261904761905</v>
      </c>
      <c r="BN48" s="311"/>
      <c r="BO48" s="314"/>
      <c r="BP48" s="310">
        <v>1275.5774193548391</v>
      </c>
      <c r="BQ48" s="311"/>
      <c r="BR48" s="312"/>
      <c r="BS48" s="313">
        <v>1314.6754098360655</v>
      </c>
      <c r="BT48" s="311"/>
      <c r="BU48" s="312"/>
      <c r="BV48" s="313">
        <v>1310.9483870967749</v>
      </c>
      <c r="BW48" s="311"/>
      <c r="BX48" s="312"/>
      <c r="BY48" s="313">
        <v>1320.8426229508193</v>
      </c>
      <c r="BZ48" s="311"/>
      <c r="CA48" s="314"/>
      <c r="CB48" s="310">
        <v>1328.4491803278688</v>
      </c>
      <c r="CC48" s="311"/>
      <c r="CD48" s="312"/>
      <c r="CE48" s="313">
        <v>1370.9</v>
      </c>
      <c r="CF48" s="311"/>
      <c r="CG48" s="312"/>
      <c r="CH48" s="313">
        <v>1359.38</v>
      </c>
      <c r="CI48" s="311"/>
      <c r="CJ48" s="312"/>
      <c r="CK48" s="313">
        <v>1396.8</v>
      </c>
      <c r="CL48" s="311"/>
      <c r="CM48" s="314"/>
      <c r="CN48" s="74"/>
    </row>
    <row r="49" spans="1:92" s="42" customFormat="1" ht="16.2" customHeight="1" x14ac:dyDescent="0.4">
      <c r="A49" s="156"/>
      <c r="B49" s="150" t="s">
        <v>233</v>
      </c>
      <c r="C49" s="94"/>
      <c r="D49" s="821"/>
      <c r="E49" s="821"/>
      <c r="F49" s="821"/>
      <c r="G49" s="821"/>
      <c r="H49" s="821"/>
      <c r="I49" s="316"/>
      <c r="J49" s="316"/>
      <c r="K49" s="821"/>
      <c r="L49" s="316"/>
      <c r="M49" s="316"/>
      <c r="N49" s="821"/>
      <c r="O49" s="316"/>
      <c r="P49" s="316"/>
      <c r="Q49" s="821"/>
      <c r="R49" s="821"/>
      <c r="S49" s="821"/>
      <c r="T49" s="821"/>
      <c r="U49" s="821"/>
      <c r="V49" s="821"/>
      <c r="W49" s="821"/>
      <c r="X49" s="821"/>
      <c r="Y49" s="821"/>
      <c r="Z49" s="821"/>
      <c r="AA49" s="821"/>
      <c r="AB49" s="821"/>
      <c r="AC49" s="821"/>
      <c r="AD49" s="821"/>
      <c r="AE49" s="821"/>
      <c r="AF49" s="821"/>
      <c r="AG49" s="821"/>
      <c r="AH49" s="821"/>
      <c r="AI49" s="821"/>
      <c r="AJ49" s="821"/>
      <c r="AK49" s="821"/>
      <c r="AL49" s="821"/>
      <c r="AM49" s="821"/>
      <c r="AN49" s="821"/>
      <c r="AO49" s="821"/>
      <c r="AP49" s="821"/>
      <c r="AQ49" s="821"/>
      <c r="AR49" s="821"/>
      <c r="AS49" s="821"/>
      <c r="AT49" s="821"/>
      <c r="AU49" s="821"/>
      <c r="AV49" s="821"/>
      <c r="AW49" s="821"/>
      <c r="AX49" s="821"/>
      <c r="AY49" s="821"/>
      <c r="AZ49" s="821"/>
      <c r="BA49" s="821"/>
      <c r="BB49" s="821"/>
      <c r="BC49" s="821"/>
      <c r="BD49" s="821"/>
      <c r="BE49" s="821"/>
      <c r="BF49" s="821"/>
      <c r="BG49" s="821"/>
      <c r="BH49" s="821"/>
      <c r="BI49" s="821"/>
      <c r="BJ49" s="821"/>
      <c r="BK49" s="821"/>
      <c r="BL49" s="821"/>
      <c r="BM49" s="821"/>
      <c r="BN49" s="821"/>
      <c r="BO49" s="821"/>
      <c r="BP49" s="821"/>
      <c r="BQ49" s="821"/>
      <c r="BR49" s="821"/>
      <c r="BS49" s="821"/>
      <c r="BT49" s="821"/>
      <c r="BU49" s="821"/>
      <c r="BV49" s="821"/>
      <c r="BW49" s="821"/>
      <c r="BX49" s="316"/>
      <c r="BY49" s="316"/>
      <c r="BZ49" s="316"/>
      <c r="CA49" s="316"/>
      <c r="CB49" s="316"/>
      <c r="CC49" s="316"/>
      <c r="CD49" s="316"/>
      <c r="CE49" s="316"/>
      <c r="CF49" s="316"/>
      <c r="CG49" s="316"/>
      <c r="CH49" s="316"/>
      <c r="CI49" s="316"/>
      <c r="CJ49" s="316"/>
      <c r="CK49" s="316"/>
      <c r="CL49" s="316"/>
      <c r="CM49" s="316"/>
      <c r="CN49" s="74"/>
    </row>
    <row r="50" spans="1:92" s="45" customFormat="1" ht="13.8" thickBot="1" x14ac:dyDescent="0.45">
      <c r="A50" s="157"/>
      <c r="B50" s="43" t="s">
        <v>203</v>
      </c>
      <c r="C50" s="44"/>
      <c r="D50" s="207" t="s">
        <v>323</v>
      </c>
      <c r="E50" s="207"/>
      <c r="F50" s="207"/>
      <c r="G50" s="207"/>
      <c r="H50" s="207" t="s">
        <v>254</v>
      </c>
      <c r="I50" s="207"/>
      <c r="J50" s="207"/>
      <c r="K50" s="207" t="s">
        <v>254</v>
      </c>
      <c r="L50" s="207"/>
      <c r="M50" s="207"/>
      <c r="N50" s="207" t="s">
        <v>254</v>
      </c>
      <c r="O50" s="207"/>
      <c r="P50" s="207"/>
      <c r="Q50" s="207" t="s">
        <v>254</v>
      </c>
      <c r="R50" s="207"/>
      <c r="S50" s="207"/>
      <c r="T50" s="207" t="s">
        <v>324</v>
      </c>
      <c r="U50" s="207"/>
      <c r="V50" s="207"/>
      <c r="W50" s="207" t="s">
        <v>324</v>
      </c>
      <c r="X50" s="207"/>
      <c r="Y50" s="207"/>
      <c r="Z50" s="207" t="s">
        <v>324</v>
      </c>
      <c r="AA50" s="207"/>
      <c r="AB50" s="207"/>
      <c r="AC50" s="207" t="s">
        <v>324</v>
      </c>
      <c r="AD50" s="207"/>
      <c r="AE50" s="207"/>
      <c r="AF50" s="207" t="s">
        <v>325</v>
      </c>
      <c r="AG50" s="207"/>
      <c r="AH50" s="207"/>
      <c r="AI50" s="207" t="s">
        <v>325</v>
      </c>
      <c r="AJ50" s="207"/>
      <c r="AK50" s="207"/>
      <c r="AL50" s="207" t="s">
        <v>325</v>
      </c>
      <c r="AM50" s="207"/>
      <c r="AN50" s="207"/>
      <c r="AO50" s="207" t="s">
        <v>325</v>
      </c>
      <c r="AP50" s="207"/>
      <c r="AQ50" s="207"/>
      <c r="AR50" s="207" t="s">
        <v>326</v>
      </c>
      <c r="AS50" s="207"/>
      <c r="AT50" s="207"/>
      <c r="AU50" s="207" t="s">
        <v>326</v>
      </c>
      <c r="AV50" s="207"/>
      <c r="AW50" s="207"/>
      <c r="AX50" s="207" t="s">
        <v>326</v>
      </c>
      <c r="AY50" s="207"/>
      <c r="AZ50" s="207"/>
      <c r="BA50" s="207" t="s">
        <v>326</v>
      </c>
      <c r="BB50" s="207"/>
      <c r="BC50" s="207"/>
      <c r="BD50" s="207">
        <v>2022</v>
      </c>
      <c r="BE50" s="207"/>
      <c r="BF50" s="207"/>
      <c r="BG50" s="207">
        <v>2022</v>
      </c>
      <c r="BH50" s="207"/>
      <c r="BI50" s="207"/>
      <c r="BJ50" s="207">
        <v>2022</v>
      </c>
      <c r="BK50" s="207"/>
      <c r="BL50" s="207"/>
      <c r="BM50" s="207">
        <v>2022</v>
      </c>
      <c r="BN50" s="207"/>
      <c r="BO50" s="207"/>
      <c r="BP50" s="207">
        <v>2023</v>
      </c>
      <c r="BQ50" s="207"/>
      <c r="BR50" s="207"/>
      <c r="BS50" s="207">
        <v>2023</v>
      </c>
      <c r="BT50" s="207"/>
      <c r="BU50" s="207"/>
      <c r="BV50" s="207">
        <v>2023</v>
      </c>
      <c r="BW50" s="207"/>
      <c r="BX50" s="207"/>
      <c r="BY50" s="207">
        <v>2023</v>
      </c>
      <c r="BZ50" s="207"/>
      <c r="CA50" s="207"/>
      <c r="CB50" s="207">
        <v>2024</v>
      </c>
      <c r="CC50" s="207"/>
      <c r="CD50" s="207"/>
      <c r="CE50" s="207">
        <v>2024</v>
      </c>
      <c r="CF50" s="207"/>
      <c r="CG50" s="207"/>
      <c r="CH50" s="207">
        <v>2024</v>
      </c>
      <c r="CI50" s="207"/>
      <c r="CJ50" s="207"/>
      <c r="CK50" s="207">
        <v>2024</v>
      </c>
      <c r="CL50" s="207"/>
      <c r="CM50" s="207"/>
      <c r="CN50" s="74"/>
    </row>
    <row r="51" spans="1:92" s="41" customFormat="1" ht="16.2" customHeight="1" x14ac:dyDescent="0.4">
      <c r="A51" s="159"/>
      <c r="B51" s="46" t="s">
        <v>209</v>
      </c>
      <c r="C51" s="46"/>
      <c r="D51" s="279" t="str">
        <f>D27</f>
        <v>1Q17</v>
      </c>
      <c r="E51" s="281" t="str">
        <f t="shared" ref="E51:H51" si="177">E27</f>
        <v>2Q17</v>
      </c>
      <c r="F51" s="281" t="str">
        <f t="shared" si="177"/>
        <v>3Q17</v>
      </c>
      <c r="G51" s="317" t="str">
        <f t="shared" si="177"/>
        <v>4Q17</v>
      </c>
      <c r="H51" s="279" t="str">
        <f t="shared" si="177"/>
        <v>1Q18</v>
      </c>
      <c r="I51" s="280"/>
      <c r="J51" s="280"/>
      <c r="K51" s="281" t="str">
        <f t="shared" ref="K51:BV51" si="178">K27</f>
        <v>2Q18</v>
      </c>
      <c r="L51" s="280"/>
      <c r="M51" s="280"/>
      <c r="N51" s="281" t="str">
        <f t="shared" si="178"/>
        <v>3Q18</v>
      </c>
      <c r="O51" s="280"/>
      <c r="P51" s="280"/>
      <c r="Q51" s="281" t="str">
        <f t="shared" si="178"/>
        <v>4Q18</v>
      </c>
      <c r="R51" s="280"/>
      <c r="S51" s="282"/>
      <c r="T51" s="279" t="str">
        <f t="shared" si="178"/>
        <v>1Q19</v>
      </c>
      <c r="U51" s="280"/>
      <c r="V51" s="280"/>
      <c r="W51" s="281" t="str">
        <f t="shared" si="178"/>
        <v>2Q19</v>
      </c>
      <c r="X51" s="280"/>
      <c r="Y51" s="280"/>
      <c r="Z51" s="281" t="str">
        <f t="shared" si="178"/>
        <v>3Q19</v>
      </c>
      <c r="AA51" s="280"/>
      <c r="AB51" s="280"/>
      <c r="AC51" s="281" t="str">
        <f t="shared" si="178"/>
        <v>4Q19</v>
      </c>
      <c r="AD51" s="280"/>
      <c r="AE51" s="282"/>
      <c r="AF51" s="279" t="str">
        <f t="shared" si="178"/>
        <v>1Q20</v>
      </c>
      <c r="AG51" s="280"/>
      <c r="AH51" s="280"/>
      <c r="AI51" s="281" t="str">
        <f t="shared" si="178"/>
        <v>2Q20</v>
      </c>
      <c r="AJ51" s="280"/>
      <c r="AK51" s="280"/>
      <c r="AL51" s="281" t="str">
        <f t="shared" si="178"/>
        <v>3Q20</v>
      </c>
      <c r="AM51" s="280"/>
      <c r="AN51" s="280"/>
      <c r="AO51" s="281" t="str">
        <f t="shared" si="178"/>
        <v>4Q20</v>
      </c>
      <c r="AP51" s="280"/>
      <c r="AQ51" s="282"/>
      <c r="AR51" s="279" t="str">
        <f t="shared" si="178"/>
        <v>1Q21</v>
      </c>
      <c r="AS51" s="280"/>
      <c r="AT51" s="280"/>
      <c r="AU51" s="281" t="str">
        <f t="shared" si="178"/>
        <v>2Q21</v>
      </c>
      <c r="AV51" s="280"/>
      <c r="AW51" s="280"/>
      <c r="AX51" s="281" t="str">
        <f t="shared" si="178"/>
        <v>3Q21</v>
      </c>
      <c r="AY51" s="280"/>
      <c r="AZ51" s="280"/>
      <c r="BA51" s="281" t="str">
        <f t="shared" si="178"/>
        <v>4Q21</v>
      </c>
      <c r="BB51" s="280"/>
      <c r="BC51" s="282"/>
      <c r="BD51" s="279" t="str">
        <f t="shared" si="178"/>
        <v>1Q22</v>
      </c>
      <c r="BE51" s="280"/>
      <c r="BF51" s="280"/>
      <c r="BG51" s="281" t="str">
        <f t="shared" si="178"/>
        <v>2Q22</v>
      </c>
      <c r="BH51" s="280"/>
      <c r="BI51" s="280"/>
      <c r="BJ51" s="281" t="str">
        <f t="shared" si="178"/>
        <v>3Q22</v>
      </c>
      <c r="BK51" s="280"/>
      <c r="BL51" s="280"/>
      <c r="BM51" s="281" t="str">
        <f t="shared" si="178"/>
        <v>4Q22</v>
      </c>
      <c r="BN51" s="280"/>
      <c r="BO51" s="282"/>
      <c r="BP51" s="279" t="str">
        <f t="shared" si="178"/>
        <v>1Q23</v>
      </c>
      <c r="BQ51" s="280"/>
      <c r="BR51" s="280"/>
      <c r="BS51" s="281" t="str">
        <f t="shared" si="178"/>
        <v>2Q23</v>
      </c>
      <c r="BT51" s="280"/>
      <c r="BU51" s="280"/>
      <c r="BV51" s="281" t="str">
        <f t="shared" si="178"/>
        <v>3Q23</v>
      </c>
      <c r="BW51" s="280"/>
      <c r="BX51" s="280"/>
      <c r="BY51" s="281" t="str">
        <f t="shared" ref="BY51" si="179">BY27</f>
        <v>4Q23</v>
      </c>
      <c r="BZ51" s="280"/>
      <c r="CA51" s="282"/>
      <c r="CB51" s="279" t="str">
        <f t="shared" ref="CB51" si="180">CB27</f>
        <v>1Q24</v>
      </c>
      <c r="CC51" s="280"/>
      <c r="CD51" s="280"/>
      <c r="CE51" s="281" t="str">
        <f t="shared" ref="CE51" si="181">CE27</f>
        <v>2Q24</v>
      </c>
      <c r="CF51" s="280"/>
      <c r="CG51" s="280"/>
      <c r="CH51" s="281" t="str">
        <f t="shared" ref="CH51" si="182">CH27</f>
        <v>3Q24</v>
      </c>
      <c r="CI51" s="280"/>
      <c r="CJ51" s="280"/>
      <c r="CK51" s="281" t="str">
        <f t="shared" ref="CK51" si="183">CK27</f>
        <v>4Q24</v>
      </c>
      <c r="CL51" s="280"/>
      <c r="CM51" s="282"/>
      <c r="CN51" s="74"/>
    </row>
    <row r="52" spans="1:92" s="21" customFormat="1" ht="16.2" customHeight="1" x14ac:dyDescent="0.4">
      <c r="A52" s="157"/>
      <c r="B52" s="76" t="s">
        <v>351</v>
      </c>
      <c r="C52" s="77" t="s">
        <v>360</v>
      </c>
      <c r="D52" s="96">
        <f t="shared" ref="D52:H63" si="184">IFERROR(D28/D$44,"")</f>
        <v>0.68097447795823673</v>
      </c>
      <c r="E52" s="97">
        <f t="shared" si="184"/>
        <v>0.59526261585993823</v>
      </c>
      <c r="F52" s="97">
        <f t="shared" si="184"/>
        <v>0.52230046948356812</v>
      </c>
      <c r="G52" s="98">
        <f t="shared" si="184"/>
        <v>0.59877775006235912</v>
      </c>
      <c r="H52" s="99">
        <f t="shared" si="184"/>
        <v>0.55645981688708035</v>
      </c>
      <c r="I52" s="283"/>
      <c r="J52" s="284"/>
      <c r="K52" s="100">
        <f t="shared" ref="K52:K63" si="185">IFERROR(K28/K$44,"")</f>
        <v>0.54799301919720766</v>
      </c>
      <c r="L52" s="283"/>
      <c r="M52" s="284"/>
      <c r="N52" s="100">
        <f t="shared" ref="N52:N63" si="186">IFERROR(N28/N$44,"")</f>
        <v>0.47889750215331611</v>
      </c>
      <c r="O52" s="283"/>
      <c r="P52" s="284"/>
      <c r="Q52" s="100">
        <f t="shared" ref="Q52:Q63" si="187">IFERROR(Q28/Q$44,"")</f>
        <v>0.5318565256155271</v>
      </c>
      <c r="R52" s="283"/>
      <c r="S52" s="285"/>
      <c r="T52" s="99">
        <f t="shared" ref="T52:T63" si="188">IFERROR(T28/T$44,"")</f>
        <v>0.43360098826436066</v>
      </c>
      <c r="U52" s="283"/>
      <c r="V52" s="284"/>
      <c r="W52" s="100">
        <f t="shared" ref="W52:W63" si="189">IFERROR(W28/W$44,"")</f>
        <v>0.48186624617382434</v>
      </c>
      <c r="X52" s="283"/>
      <c r="Y52" s="284"/>
      <c r="Z52" s="100">
        <f t="shared" ref="Z52:Z63" si="190">IFERROR(Z28/Z$44,"")</f>
        <v>0.4314904858553919</v>
      </c>
      <c r="AA52" s="283"/>
      <c r="AB52" s="284"/>
      <c r="AC52" s="100">
        <f t="shared" ref="AC52:AC63" si="191">IFERROR(AC28/AC$44,"")</f>
        <v>0.46076960787080939</v>
      </c>
      <c r="AD52" s="283"/>
      <c r="AE52" s="285"/>
      <c r="AF52" s="99">
        <f t="shared" ref="AF52:AF63" si="192">IFERROR(AF28/AF$44,"")</f>
        <v>0.42945157526254379</v>
      </c>
      <c r="AG52" s="283"/>
      <c r="AH52" s="284"/>
      <c r="AI52" s="100">
        <f t="shared" ref="AI52:AI63" si="193">IFERROR(AI28/AI$44,"")</f>
        <v>0.3981474775346705</v>
      </c>
      <c r="AJ52" s="283"/>
      <c r="AK52" s="284"/>
      <c r="AL52" s="100">
        <f t="shared" ref="AL52:AL63" si="194">IFERROR(AL28/AL$44,"")</f>
        <v>0.41814684456504159</v>
      </c>
      <c r="AM52" s="283"/>
      <c r="AN52" s="284"/>
      <c r="AO52" s="100">
        <f t="shared" ref="AO52:AO63" si="195">IFERROR(AO28/AO$44,"")</f>
        <v>0.46670486187002164</v>
      </c>
      <c r="AP52" s="283"/>
      <c r="AQ52" s="285"/>
      <c r="AR52" s="99">
        <f t="shared" ref="AR52:AR63" si="196">IFERROR(AR28/AR$44,"")</f>
        <v>0.43185594304992247</v>
      </c>
      <c r="AS52" s="283"/>
      <c r="AT52" s="284"/>
      <c r="AU52" s="100">
        <f t="shared" ref="AU52:AU63" si="197">IFERROR(AU28/AU$44,"")</f>
        <v>0.56932786388913448</v>
      </c>
      <c r="AV52" s="283"/>
      <c r="AW52" s="284"/>
      <c r="AX52" s="100">
        <f t="shared" ref="AX52:AX63" si="198">IFERROR(AX28/AX$44,"")</f>
        <v>0.4384655575706044</v>
      </c>
      <c r="AY52" s="283"/>
      <c r="AZ52" s="284"/>
      <c r="BA52" s="100">
        <f t="shared" ref="BA52:BA63" si="199">IFERROR(BA28/BA$44,"")</f>
        <v>0.40157915668262206</v>
      </c>
      <c r="BB52" s="283"/>
      <c r="BC52" s="285"/>
      <c r="BD52" s="99">
        <f t="shared" ref="BD52:BD63" si="200">IFERROR(BD28/BD$44,"")</f>
        <v>0.57932515684168884</v>
      </c>
      <c r="BE52" s="283"/>
      <c r="BF52" s="284"/>
      <c r="BG52" s="100">
        <f t="shared" ref="BG52:BG63" si="201">IFERROR(BG28/BG$44,"")</f>
        <v>0.52291978838567632</v>
      </c>
      <c r="BH52" s="283"/>
      <c r="BI52" s="284"/>
      <c r="BJ52" s="100">
        <f t="shared" ref="BJ52:BJ63" si="202">IFERROR(BJ28/BJ$44,"")</f>
        <v>0.46598322460391428</v>
      </c>
      <c r="BK52" s="283"/>
      <c r="BL52" s="284"/>
      <c r="BM52" s="100">
        <f t="shared" ref="BM52:BM63" si="203">IFERROR(BM28/BM$44,"")</f>
        <v>0.52008205838008847</v>
      </c>
      <c r="BN52" s="283"/>
      <c r="BO52" s="285"/>
      <c r="BP52" s="99">
        <f t="shared" ref="BP52:BP63" si="204">IFERROR(BP28/BP$44,"")</f>
        <v>0.47087969045077599</v>
      </c>
      <c r="BQ52" s="283"/>
      <c r="BR52" s="284"/>
      <c r="BS52" s="100">
        <f t="shared" ref="BS52:BS63" si="205">IFERROR(BS28/BS$44,"")</f>
        <v>0.47841812833642006</v>
      </c>
      <c r="BT52" s="283"/>
      <c r="BU52" s="284"/>
      <c r="BV52" s="100">
        <f t="shared" ref="BV52:BV63" si="206">IFERROR(BV28/BV$44,"")</f>
        <v>0.53528863094621204</v>
      </c>
      <c r="BW52" s="283"/>
      <c r="BX52" s="284"/>
      <c r="BY52" s="100">
        <f t="shared" ref="BY52:BY63" si="207">IFERROR(BY28/BY$44,"")</f>
        <v>0.50728676892964286</v>
      </c>
      <c r="BZ52" s="283"/>
      <c r="CA52" s="285"/>
      <c r="CB52" s="99">
        <f t="shared" ref="CB52:CB63" si="208">IFERROR(CB28/CB$44,"")</f>
        <v>0.4128902915897496</v>
      </c>
      <c r="CC52" s="283"/>
      <c r="CD52" s="284"/>
      <c r="CE52" s="100">
        <f t="shared" ref="CE52:CE63" si="209">IFERROR(CE28/CE$44,"")</f>
        <v>0.50877469800766517</v>
      </c>
      <c r="CF52" s="283"/>
      <c r="CG52" s="284"/>
      <c r="CH52" s="100">
        <f t="shared" ref="CH52:CH63" si="210">IFERROR(CH28/CH$44,"")</f>
        <v>0.53714737763414799</v>
      </c>
      <c r="CI52" s="283"/>
      <c r="CJ52" s="284"/>
      <c r="CK52" s="100">
        <f t="shared" ref="CK52:CK71" si="211">IFERROR(CK28/CK$44,"")</f>
        <v>0.38651218800413956</v>
      </c>
      <c r="CL52" s="283"/>
      <c r="CM52" s="285"/>
      <c r="CN52" s="74"/>
    </row>
    <row r="53" spans="1:92" s="101" customFormat="1" ht="16.2" customHeight="1" x14ac:dyDescent="0.4">
      <c r="A53" s="160"/>
      <c r="B53" s="83" t="s">
        <v>204</v>
      </c>
      <c r="C53" s="84" t="s">
        <v>406</v>
      </c>
      <c r="D53" s="318">
        <f t="shared" si="184"/>
        <v>0.50116009280742468</v>
      </c>
      <c r="E53" s="319">
        <f t="shared" si="184"/>
        <v>0.3810504634397528</v>
      </c>
      <c r="F53" s="319">
        <f t="shared" si="184"/>
        <v>0.30046948356807512</v>
      </c>
      <c r="G53" s="320">
        <f t="shared" si="184"/>
        <v>0.40159640808181574</v>
      </c>
      <c r="H53" s="321">
        <f t="shared" si="184"/>
        <v>0.35300101729399797</v>
      </c>
      <c r="I53" s="251"/>
      <c r="J53" s="252"/>
      <c r="K53" s="322">
        <f t="shared" si="185"/>
        <v>0.37172774869109942</v>
      </c>
      <c r="L53" s="251"/>
      <c r="M53" s="252"/>
      <c r="N53" s="322">
        <f t="shared" si="186"/>
        <v>0.25409130060292856</v>
      </c>
      <c r="O53" s="251"/>
      <c r="P53" s="252"/>
      <c r="Q53" s="322">
        <f t="shared" si="187"/>
        <v>0.2838625608668815</v>
      </c>
      <c r="R53" s="251"/>
      <c r="S53" s="253"/>
      <c r="T53" s="321">
        <f t="shared" si="188"/>
        <v>0.23792464484249534</v>
      </c>
      <c r="U53" s="251"/>
      <c r="V53" s="252"/>
      <c r="W53" s="322">
        <f t="shared" si="189"/>
        <v>0.22868936091271677</v>
      </c>
      <c r="X53" s="251"/>
      <c r="Y53" s="252"/>
      <c r="Z53" s="322">
        <f t="shared" si="190"/>
        <v>0.23755106486609023</v>
      </c>
      <c r="AA53" s="251"/>
      <c r="AB53" s="252"/>
      <c r="AC53" s="322">
        <f t="shared" si="191"/>
        <v>0.26272114541719943</v>
      </c>
      <c r="AD53" s="251"/>
      <c r="AE53" s="253"/>
      <c r="AF53" s="321">
        <f t="shared" si="192"/>
        <v>0.26277712952158694</v>
      </c>
      <c r="AG53" s="251"/>
      <c r="AH53" s="252"/>
      <c r="AI53" s="322">
        <f t="shared" si="193"/>
        <v>0.17560132806592774</v>
      </c>
      <c r="AJ53" s="251"/>
      <c r="AK53" s="252"/>
      <c r="AL53" s="322">
        <f t="shared" si="194"/>
        <v>0.28254150115324</v>
      </c>
      <c r="AM53" s="251"/>
      <c r="AN53" s="252"/>
      <c r="AO53" s="322">
        <f t="shared" si="195"/>
        <v>0.32755509935902094</v>
      </c>
      <c r="AP53" s="251"/>
      <c r="AQ53" s="253"/>
      <c r="AR53" s="321">
        <f t="shared" si="196"/>
        <v>0.2951972011252233</v>
      </c>
      <c r="AS53" s="251"/>
      <c r="AT53" s="252"/>
      <c r="AU53" s="322">
        <f t="shared" si="197"/>
        <v>0.44237167306827302</v>
      </c>
      <c r="AV53" s="251"/>
      <c r="AW53" s="252"/>
      <c r="AX53" s="322">
        <f t="shared" si="198"/>
        <v>0.35304100963064661</v>
      </c>
      <c r="AY53" s="251"/>
      <c r="AZ53" s="252"/>
      <c r="BA53" s="322">
        <f t="shared" si="199"/>
        <v>0.3391854235626835</v>
      </c>
      <c r="BB53" s="251"/>
      <c r="BC53" s="253"/>
      <c r="BD53" s="321">
        <f t="shared" si="200"/>
        <v>0.24585994461086305</v>
      </c>
      <c r="BE53" s="251"/>
      <c r="BF53" s="252"/>
      <c r="BG53" s="322">
        <f t="shared" si="201"/>
        <v>0.2874529830892022</v>
      </c>
      <c r="BH53" s="251"/>
      <c r="BI53" s="252"/>
      <c r="BJ53" s="322">
        <f t="shared" si="202"/>
        <v>0.34572948922225899</v>
      </c>
      <c r="BK53" s="251"/>
      <c r="BL53" s="252"/>
      <c r="BM53" s="322">
        <f t="shared" si="203"/>
        <v>0.363330779307447</v>
      </c>
      <c r="BN53" s="251"/>
      <c r="BO53" s="253"/>
      <c r="BP53" s="321">
        <f t="shared" si="204"/>
        <v>0.31969732736677892</v>
      </c>
      <c r="BQ53" s="251"/>
      <c r="BR53" s="252"/>
      <c r="BS53" s="322">
        <f t="shared" si="205"/>
        <v>0.35528924719468352</v>
      </c>
      <c r="BT53" s="251"/>
      <c r="BU53" s="252"/>
      <c r="BV53" s="322">
        <f t="shared" si="206"/>
        <v>0.36853559954399417</v>
      </c>
      <c r="BW53" s="251"/>
      <c r="BX53" s="252"/>
      <c r="BY53" s="322">
        <f t="shared" si="207"/>
        <v>0.35338169904048677</v>
      </c>
      <c r="BZ53" s="251"/>
      <c r="CA53" s="253"/>
      <c r="CB53" s="321">
        <f t="shared" si="208"/>
        <v>0.28319339407292715</v>
      </c>
      <c r="CC53" s="251"/>
      <c r="CD53" s="252"/>
      <c r="CE53" s="322">
        <f t="shared" si="209"/>
        <v>0.3972043514977443</v>
      </c>
      <c r="CF53" s="251"/>
      <c r="CG53" s="252"/>
      <c r="CH53" s="322">
        <f t="shared" si="210"/>
        <v>0.42705177405237998</v>
      </c>
      <c r="CI53" s="251"/>
      <c r="CJ53" s="252"/>
      <c r="CK53" s="322">
        <f t="shared" si="211"/>
        <v>0.29234549271651211</v>
      </c>
      <c r="CL53" s="251"/>
      <c r="CM53" s="253"/>
      <c r="CN53" s="74"/>
    </row>
    <row r="54" spans="1:92" s="101" customFormat="1" ht="16.2" customHeight="1" x14ac:dyDescent="0.4">
      <c r="A54" s="160"/>
      <c r="B54" s="83" t="s">
        <v>205</v>
      </c>
      <c r="C54" s="84" t="s">
        <v>407</v>
      </c>
      <c r="D54" s="318">
        <f t="shared" si="184"/>
        <v>0.17981438515081208</v>
      </c>
      <c r="E54" s="319">
        <f t="shared" si="184"/>
        <v>0.21421215242018538</v>
      </c>
      <c r="F54" s="319">
        <f t="shared" si="184"/>
        <v>0.22183098591549297</v>
      </c>
      <c r="G54" s="320">
        <f t="shared" si="184"/>
        <v>0.1973060613619356</v>
      </c>
      <c r="H54" s="321">
        <f t="shared" si="184"/>
        <v>0.20345879959308241</v>
      </c>
      <c r="I54" s="251"/>
      <c r="J54" s="252"/>
      <c r="K54" s="322">
        <f t="shared" si="185"/>
        <v>0.17626527050610818</v>
      </c>
      <c r="L54" s="251"/>
      <c r="M54" s="252"/>
      <c r="N54" s="322">
        <f t="shared" si="186"/>
        <v>0.22480620155038761</v>
      </c>
      <c r="O54" s="251"/>
      <c r="P54" s="252"/>
      <c r="Q54" s="322">
        <f t="shared" si="187"/>
        <v>0.24799396474864552</v>
      </c>
      <c r="R54" s="251"/>
      <c r="S54" s="253"/>
      <c r="T54" s="321">
        <f t="shared" si="188"/>
        <v>0.19567634342186535</v>
      </c>
      <c r="U54" s="251"/>
      <c r="V54" s="252"/>
      <c r="W54" s="322">
        <f t="shared" si="189"/>
        <v>0.25317688526110749</v>
      </c>
      <c r="X54" s="251"/>
      <c r="Y54" s="252"/>
      <c r="Z54" s="322">
        <f t="shared" si="190"/>
        <v>0.19393942098930167</v>
      </c>
      <c r="AA54" s="251"/>
      <c r="AB54" s="252"/>
      <c r="AC54" s="322">
        <f t="shared" si="191"/>
        <v>0.19809326523668722</v>
      </c>
      <c r="AD54" s="251"/>
      <c r="AE54" s="253"/>
      <c r="AF54" s="321">
        <f t="shared" si="192"/>
        <v>0.16667444574095683</v>
      </c>
      <c r="AG54" s="251"/>
      <c r="AH54" s="252"/>
      <c r="AI54" s="322">
        <f t="shared" si="193"/>
        <v>0.22254614946874277</v>
      </c>
      <c r="AJ54" s="251"/>
      <c r="AK54" s="252"/>
      <c r="AL54" s="322">
        <f t="shared" si="194"/>
        <v>0.13560534341180155</v>
      </c>
      <c r="AM54" s="251"/>
      <c r="AN54" s="252"/>
      <c r="AO54" s="322">
        <f t="shared" si="195"/>
        <v>0.13914976251100075</v>
      </c>
      <c r="AP54" s="251"/>
      <c r="AQ54" s="253"/>
      <c r="AR54" s="321">
        <f t="shared" si="196"/>
        <v>0.13665874192469918</v>
      </c>
      <c r="AS54" s="251"/>
      <c r="AT54" s="252"/>
      <c r="AU54" s="322">
        <f t="shared" si="197"/>
        <v>0.12696602518574063</v>
      </c>
      <c r="AV54" s="251"/>
      <c r="AW54" s="252"/>
      <c r="AX54" s="322">
        <f t="shared" si="198"/>
        <v>8.5424547939957796E-2</v>
      </c>
      <c r="AY54" s="251"/>
      <c r="AZ54" s="252"/>
      <c r="BA54" s="322">
        <f t="shared" si="199"/>
        <v>6.2393733119938552E-2</v>
      </c>
      <c r="BB54" s="251"/>
      <c r="BC54" s="253"/>
      <c r="BD54" s="321">
        <f t="shared" si="200"/>
        <v>0.33346521223082581</v>
      </c>
      <c r="BE54" s="251"/>
      <c r="BF54" s="252"/>
      <c r="BG54" s="322">
        <f t="shared" si="201"/>
        <v>0.23852481575486986</v>
      </c>
      <c r="BH54" s="251"/>
      <c r="BI54" s="252"/>
      <c r="BJ54" s="322">
        <f t="shared" si="202"/>
        <v>0.12025373538165531</v>
      </c>
      <c r="BK54" s="251"/>
      <c r="BL54" s="252"/>
      <c r="BM54" s="322">
        <f t="shared" si="203"/>
        <v>0.1567512790726415</v>
      </c>
      <c r="BN54" s="251"/>
      <c r="BO54" s="253"/>
      <c r="BP54" s="321">
        <f t="shared" si="204"/>
        <v>0.15118236308399705</v>
      </c>
      <c r="BQ54" s="251"/>
      <c r="BR54" s="252"/>
      <c r="BS54" s="322">
        <f t="shared" si="205"/>
        <v>0.12312888114173656</v>
      </c>
      <c r="BT54" s="251"/>
      <c r="BU54" s="252"/>
      <c r="BV54" s="322">
        <f t="shared" si="206"/>
        <v>0.16675303140221784</v>
      </c>
      <c r="BW54" s="251"/>
      <c r="BX54" s="252"/>
      <c r="BY54" s="322">
        <f t="shared" si="207"/>
        <v>0.153905069889156</v>
      </c>
      <c r="BZ54" s="251"/>
      <c r="CA54" s="253"/>
      <c r="CB54" s="321">
        <f t="shared" si="208"/>
        <v>0.12969689751682248</v>
      </c>
      <c r="CC54" s="251"/>
      <c r="CD54" s="252"/>
      <c r="CE54" s="322">
        <f t="shared" si="209"/>
        <v>0.11157034650992077</v>
      </c>
      <c r="CF54" s="251"/>
      <c r="CG54" s="252"/>
      <c r="CH54" s="322">
        <f t="shared" si="210"/>
        <v>0.110095603581768</v>
      </c>
      <c r="CI54" s="251"/>
      <c r="CJ54" s="252"/>
      <c r="CK54" s="322">
        <f t="shared" si="211"/>
        <v>9.4166695287627472E-2</v>
      </c>
      <c r="CL54" s="251"/>
      <c r="CM54" s="253"/>
      <c r="CN54" s="74"/>
    </row>
    <row r="55" spans="1:92" s="21" customFormat="1" ht="16.2" customHeight="1" x14ac:dyDescent="0.4">
      <c r="A55" s="157"/>
      <c r="B55" s="76" t="s">
        <v>353</v>
      </c>
      <c r="C55" s="77" t="s">
        <v>361</v>
      </c>
      <c r="D55" s="96">
        <f t="shared" si="184"/>
        <v>7.1925754060324837E-2</v>
      </c>
      <c r="E55" s="97">
        <f t="shared" si="184"/>
        <v>0.10401647785787847</v>
      </c>
      <c r="F55" s="97">
        <f t="shared" si="184"/>
        <v>0.13497652582159625</v>
      </c>
      <c r="G55" s="98">
        <f t="shared" si="184"/>
        <v>0.13694188076827135</v>
      </c>
      <c r="H55" s="99">
        <f t="shared" si="184"/>
        <v>0.10172939979654121</v>
      </c>
      <c r="I55" s="283"/>
      <c r="J55" s="284"/>
      <c r="K55" s="100">
        <f t="shared" si="185"/>
        <v>0.10209424083769632</v>
      </c>
      <c r="L55" s="283"/>
      <c r="M55" s="284"/>
      <c r="N55" s="100">
        <f t="shared" si="186"/>
        <v>0.12575366063738158</v>
      </c>
      <c r="O55" s="283"/>
      <c r="P55" s="284"/>
      <c r="Q55" s="100">
        <f t="shared" si="187"/>
        <v>0.11919621425142309</v>
      </c>
      <c r="R55" s="283"/>
      <c r="S55" s="285"/>
      <c r="T55" s="99">
        <f t="shared" si="188"/>
        <v>0.12359481161210623</v>
      </c>
      <c r="U55" s="283"/>
      <c r="V55" s="284"/>
      <c r="W55" s="100">
        <f t="shared" si="189"/>
        <v>8.9462944068268241E-2</v>
      </c>
      <c r="X55" s="283"/>
      <c r="Y55" s="284"/>
      <c r="Z55" s="100">
        <f t="shared" si="190"/>
        <v>5.3687253922637332E-2</v>
      </c>
      <c r="AA55" s="283"/>
      <c r="AB55" s="284"/>
      <c r="AC55" s="100">
        <f t="shared" si="191"/>
        <v>6.8292658230661066E-2</v>
      </c>
      <c r="AD55" s="283"/>
      <c r="AE55" s="285"/>
      <c r="AF55" s="99">
        <f t="shared" si="192"/>
        <v>6.6044340723453915E-2</v>
      </c>
      <c r="AG55" s="283"/>
      <c r="AH55" s="284"/>
      <c r="AI55" s="100">
        <f t="shared" si="193"/>
        <v>5.0775738643313022E-2</v>
      </c>
      <c r="AJ55" s="283"/>
      <c r="AK55" s="284"/>
      <c r="AL55" s="100">
        <f t="shared" si="194"/>
        <v>6.0198177571053606E-2</v>
      </c>
      <c r="AM55" s="283"/>
      <c r="AN55" s="284"/>
      <c r="AO55" s="100">
        <f t="shared" si="195"/>
        <v>5.0591687959271089E-2</v>
      </c>
      <c r="AP55" s="283"/>
      <c r="AQ55" s="285"/>
      <c r="AR55" s="99">
        <f t="shared" si="196"/>
        <v>8.3869669888719661E-2</v>
      </c>
      <c r="AS55" s="283"/>
      <c r="AT55" s="284"/>
      <c r="AU55" s="100">
        <f t="shared" si="197"/>
        <v>5.0624970496905369E-2</v>
      </c>
      <c r="AV55" s="283"/>
      <c r="AW55" s="284"/>
      <c r="AX55" s="100">
        <f t="shared" si="198"/>
        <v>7.9533361966300536E-2</v>
      </c>
      <c r="AY55" s="283"/>
      <c r="AZ55" s="284"/>
      <c r="BA55" s="100">
        <f t="shared" si="199"/>
        <v>7.9634151941093315E-2</v>
      </c>
      <c r="BB55" s="283"/>
      <c r="BC55" s="285"/>
      <c r="BD55" s="99">
        <f t="shared" si="200"/>
        <v>5.6519527496750134E-2</v>
      </c>
      <c r="BE55" s="283"/>
      <c r="BF55" s="284"/>
      <c r="BG55" s="100">
        <f t="shared" si="201"/>
        <v>7.0334240543102652E-2</v>
      </c>
      <c r="BH55" s="283"/>
      <c r="BI55" s="284"/>
      <c r="BJ55" s="100">
        <f t="shared" si="202"/>
        <v>4.5095150768120734E-2</v>
      </c>
      <c r="BK55" s="283"/>
      <c r="BL55" s="284"/>
      <c r="BM55" s="100">
        <f t="shared" si="203"/>
        <v>5.049556340987172E-2</v>
      </c>
      <c r="BN55" s="283"/>
      <c r="BO55" s="285"/>
      <c r="BP55" s="99">
        <f t="shared" si="204"/>
        <v>2.9967053945315705E-2</v>
      </c>
      <c r="BQ55" s="283"/>
      <c r="BR55" s="284"/>
      <c r="BS55" s="100">
        <f t="shared" si="205"/>
        <v>3.3380542542760648E-2</v>
      </c>
      <c r="BT55" s="283"/>
      <c r="BU55" s="284"/>
      <c r="BV55" s="100">
        <f t="shared" si="206"/>
        <v>1.8260959684941444E-2</v>
      </c>
      <c r="BW55" s="283"/>
      <c r="BX55" s="284"/>
      <c r="BY55" s="100">
        <f t="shared" si="207"/>
        <v>3.2168159479182175E-2</v>
      </c>
      <c r="BZ55" s="283"/>
      <c r="CA55" s="285"/>
      <c r="CB55" s="99">
        <f t="shared" si="208"/>
        <v>2.798785208122432E-2</v>
      </c>
      <c r="CC55" s="283"/>
      <c r="CD55" s="284"/>
      <c r="CE55" s="100">
        <f t="shared" si="209"/>
        <v>1.6945854374364848E-2</v>
      </c>
      <c r="CF55" s="283"/>
      <c r="CG55" s="284"/>
      <c r="CH55" s="100">
        <f t="shared" si="210"/>
        <v>2.0113781727597119E-2</v>
      </c>
      <c r="CI55" s="283"/>
      <c r="CJ55" s="284"/>
      <c r="CK55" s="100">
        <f t="shared" si="211"/>
        <v>1.7322293233733712E-2</v>
      </c>
      <c r="CL55" s="283"/>
      <c r="CM55" s="285"/>
      <c r="CN55" s="74"/>
    </row>
    <row r="56" spans="1:92" s="101" customFormat="1" ht="16.2" customHeight="1" x14ac:dyDescent="0.4">
      <c r="A56" s="160"/>
      <c r="B56" s="83" t="s">
        <v>204</v>
      </c>
      <c r="C56" s="84" t="s">
        <v>406</v>
      </c>
      <c r="D56" s="318">
        <f t="shared" si="184"/>
        <v>6.612529002320186E-2</v>
      </c>
      <c r="E56" s="319">
        <f t="shared" si="184"/>
        <v>9.3717816683831098E-2</v>
      </c>
      <c r="F56" s="319">
        <f t="shared" si="184"/>
        <v>8.098591549295775E-2</v>
      </c>
      <c r="G56" s="320">
        <f t="shared" si="184"/>
        <v>0.10401596408081812</v>
      </c>
      <c r="H56" s="321">
        <f t="shared" si="184"/>
        <v>6.4089521871820959E-2</v>
      </c>
      <c r="I56" s="251"/>
      <c r="J56" s="252"/>
      <c r="K56" s="322">
        <f t="shared" si="185"/>
        <v>6.6317626527050602E-2</v>
      </c>
      <c r="L56" s="251"/>
      <c r="M56" s="252"/>
      <c r="N56" s="322">
        <f t="shared" si="186"/>
        <v>9.5607235142118871E-2</v>
      </c>
      <c r="O56" s="251"/>
      <c r="P56" s="252"/>
      <c r="Q56" s="322">
        <f t="shared" si="187"/>
        <v>9.8484328921198808E-2</v>
      </c>
      <c r="R56" s="251"/>
      <c r="S56" s="253"/>
      <c r="T56" s="321">
        <f t="shared" si="188"/>
        <v>0.10500308832612723</v>
      </c>
      <c r="U56" s="251"/>
      <c r="V56" s="252"/>
      <c r="W56" s="322">
        <f t="shared" si="189"/>
        <v>7.2163992208514965E-2</v>
      </c>
      <c r="X56" s="251"/>
      <c r="Y56" s="252"/>
      <c r="Z56" s="322">
        <f t="shared" si="190"/>
        <v>4.1583863374116209E-2</v>
      </c>
      <c r="AA56" s="251"/>
      <c r="AB56" s="252"/>
      <c r="AC56" s="322">
        <f t="shared" si="191"/>
        <v>5.735670210656417E-2</v>
      </c>
      <c r="AD56" s="251"/>
      <c r="AE56" s="253"/>
      <c r="AF56" s="321">
        <f t="shared" si="192"/>
        <v>6.0303383897316216E-2</v>
      </c>
      <c r="AG56" s="251"/>
      <c r="AH56" s="252"/>
      <c r="AI56" s="322">
        <f t="shared" si="193"/>
        <v>2.7597075678585013E-2</v>
      </c>
      <c r="AJ56" s="251"/>
      <c r="AK56" s="252"/>
      <c r="AL56" s="322">
        <f t="shared" si="194"/>
        <v>4.5466779808184858E-2</v>
      </c>
      <c r="AM56" s="251"/>
      <c r="AN56" s="252"/>
      <c r="AO56" s="322">
        <f t="shared" si="195"/>
        <v>4.6639533414983121E-2</v>
      </c>
      <c r="AP56" s="251"/>
      <c r="AQ56" s="253"/>
      <c r="AR56" s="321">
        <f t="shared" si="196"/>
        <v>7.5763975894075616E-2</v>
      </c>
      <c r="AS56" s="251"/>
      <c r="AT56" s="252"/>
      <c r="AU56" s="322">
        <f t="shared" si="197"/>
        <v>3.8973927131832571E-2</v>
      </c>
      <c r="AV56" s="251"/>
      <c r="AW56" s="252"/>
      <c r="AX56" s="322">
        <f t="shared" si="198"/>
        <v>7.3704291784084539E-2</v>
      </c>
      <c r="AY56" s="251"/>
      <c r="AZ56" s="252"/>
      <c r="BA56" s="322">
        <f t="shared" si="199"/>
        <v>7.3198670153092213E-2</v>
      </c>
      <c r="BB56" s="251"/>
      <c r="BC56" s="253"/>
      <c r="BD56" s="321">
        <f t="shared" si="200"/>
        <v>5.3693551121912625E-2</v>
      </c>
      <c r="BE56" s="251"/>
      <c r="BF56" s="252"/>
      <c r="BG56" s="322">
        <f t="shared" si="201"/>
        <v>6.4218219626311121E-2</v>
      </c>
      <c r="BH56" s="251"/>
      <c r="BI56" s="252"/>
      <c r="BJ56" s="322">
        <f t="shared" si="202"/>
        <v>4.2088807383579355E-2</v>
      </c>
      <c r="BK56" s="251"/>
      <c r="BL56" s="252"/>
      <c r="BM56" s="322">
        <f t="shared" si="203"/>
        <v>4.8666551323562124E-2</v>
      </c>
      <c r="BN56" s="251"/>
      <c r="BO56" s="253"/>
      <c r="BP56" s="321">
        <f t="shared" si="204"/>
        <v>2.6734029887511293E-2</v>
      </c>
      <c r="BQ56" s="251"/>
      <c r="BR56" s="252"/>
      <c r="BS56" s="322">
        <f t="shared" si="205"/>
        <v>3.0656934306569343E-2</v>
      </c>
      <c r="BT56" s="251"/>
      <c r="BU56" s="252"/>
      <c r="BV56" s="322">
        <f t="shared" si="206"/>
        <v>1.693439734687532E-2</v>
      </c>
      <c r="BW56" s="251"/>
      <c r="BX56" s="252"/>
      <c r="BY56" s="322">
        <f t="shared" si="207"/>
        <v>3.197668233942514E-2</v>
      </c>
      <c r="BZ56" s="251"/>
      <c r="CA56" s="253"/>
      <c r="CB56" s="321">
        <f t="shared" si="208"/>
        <v>2.6598384247404672E-2</v>
      </c>
      <c r="CC56" s="251"/>
      <c r="CD56" s="252"/>
      <c r="CE56" s="322">
        <f t="shared" si="209"/>
        <v>1.594051962515668E-2</v>
      </c>
      <c r="CF56" s="251"/>
      <c r="CG56" s="252"/>
      <c r="CH56" s="322">
        <f t="shared" si="210"/>
        <v>1.8817747256446513E-2</v>
      </c>
      <c r="CI56" s="251"/>
      <c r="CJ56" s="252"/>
      <c r="CK56" s="322">
        <f t="shared" si="211"/>
        <v>1.5171866365182883E-2</v>
      </c>
      <c r="CL56" s="251"/>
      <c r="CM56" s="253"/>
      <c r="CN56" s="74"/>
    </row>
    <row r="57" spans="1:92" s="101" customFormat="1" ht="16.2" customHeight="1" x14ac:dyDescent="0.4">
      <c r="A57" s="160"/>
      <c r="B57" s="83" t="s">
        <v>205</v>
      </c>
      <c r="C57" s="84" t="s">
        <v>407</v>
      </c>
      <c r="D57" s="318">
        <f t="shared" si="184"/>
        <v>5.8004640371229705E-3</v>
      </c>
      <c r="E57" s="319">
        <f t="shared" si="184"/>
        <v>1.0298661174047374E-2</v>
      </c>
      <c r="F57" s="319">
        <f t="shared" si="184"/>
        <v>5.39906103286385E-2</v>
      </c>
      <c r="G57" s="320">
        <f t="shared" si="184"/>
        <v>3.2427039161885732E-2</v>
      </c>
      <c r="H57" s="321">
        <f t="shared" si="184"/>
        <v>3.763987792472024E-2</v>
      </c>
      <c r="I57" s="251"/>
      <c r="J57" s="252"/>
      <c r="K57" s="322">
        <f t="shared" si="185"/>
        <v>3.6649214659685861E-2</v>
      </c>
      <c r="L57" s="251"/>
      <c r="M57" s="252"/>
      <c r="N57" s="322">
        <f t="shared" si="186"/>
        <v>3.0146425495262703E-2</v>
      </c>
      <c r="O57" s="251"/>
      <c r="P57" s="252"/>
      <c r="Q57" s="322">
        <f t="shared" si="187"/>
        <v>2.0026061312667161E-2</v>
      </c>
      <c r="R57" s="251"/>
      <c r="S57" s="253"/>
      <c r="T57" s="321">
        <f t="shared" si="188"/>
        <v>1.8591723285978998E-2</v>
      </c>
      <c r="U57" s="251"/>
      <c r="V57" s="252"/>
      <c r="W57" s="322">
        <f t="shared" si="189"/>
        <v>1.7298951859753272E-2</v>
      </c>
      <c r="X57" s="251"/>
      <c r="Y57" s="252"/>
      <c r="Z57" s="322">
        <f t="shared" si="190"/>
        <v>9.4962441879424507E-3</v>
      </c>
      <c r="AA57" s="251"/>
      <c r="AB57" s="252"/>
      <c r="AC57" s="322">
        <f t="shared" si="191"/>
        <v>1.3440834923160092E-2</v>
      </c>
      <c r="AD57" s="251"/>
      <c r="AE57" s="253"/>
      <c r="AF57" s="321">
        <f t="shared" si="192"/>
        <v>5.7409568261376897E-3</v>
      </c>
      <c r="AG57" s="251"/>
      <c r="AH57" s="252"/>
      <c r="AI57" s="322">
        <f t="shared" si="193"/>
        <v>2.3178662964728002E-2</v>
      </c>
      <c r="AJ57" s="251"/>
      <c r="AK57" s="252"/>
      <c r="AL57" s="322">
        <f t="shared" si="194"/>
        <v>1.4731397762868749E-2</v>
      </c>
      <c r="AM57" s="251"/>
      <c r="AN57" s="252"/>
      <c r="AO57" s="322">
        <f t="shared" si="195"/>
        <v>3.9521545442879674E-3</v>
      </c>
      <c r="AP57" s="251"/>
      <c r="AQ57" s="253"/>
      <c r="AR57" s="321">
        <f t="shared" si="196"/>
        <v>8.1056939946440448E-3</v>
      </c>
      <c r="AS57" s="251"/>
      <c r="AT57" s="252"/>
      <c r="AU57" s="322">
        <f t="shared" si="197"/>
        <v>1.165324761926982E-2</v>
      </c>
      <c r="AV57" s="251"/>
      <c r="AW57" s="252"/>
      <c r="AX57" s="322">
        <f t="shared" si="198"/>
        <v>5.829070182216004E-3</v>
      </c>
      <c r="AY57" s="251"/>
      <c r="AZ57" s="252"/>
      <c r="BA57" s="322">
        <f t="shared" si="199"/>
        <v>6.435481788001093E-3</v>
      </c>
      <c r="BB57" s="251"/>
      <c r="BC57" s="253"/>
      <c r="BD57" s="321">
        <f t="shared" si="200"/>
        <v>2.825976374837507E-3</v>
      </c>
      <c r="BE57" s="251"/>
      <c r="BF57" s="252"/>
      <c r="BG57" s="322">
        <f t="shared" si="201"/>
        <v>6.1160209167915357E-3</v>
      </c>
      <c r="BH57" s="251"/>
      <c r="BI57" s="252"/>
      <c r="BJ57" s="322">
        <f t="shared" si="202"/>
        <v>3.0063433845413825E-3</v>
      </c>
      <c r="BK57" s="251"/>
      <c r="BL57" s="252"/>
      <c r="BM57" s="322">
        <f t="shared" si="203"/>
        <v>1.8290120863095989E-3</v>
      </c>
      <c r="BN57" s="251"/>
      <c r="BO57" s="253"/>
      <c r="BP57" s="321">
        <f t="shared" si="204"/>
        <v>3.2330240578044176E-3</v>
      </c>
      <c r="BQ57" s="251"/>
      <c r="BR57" s="252"/>
      <c r="BS57" s="322">
        <f t="shared" si="205"/>
        <v>2.7236082361913059E-3</v>
      </c>
      <c r="BT57" s="251"/>
      <c r="BU57" s="252"/>
      <c r="BV57" s="322">
        <f t="shared" si="206"/>
        <v>1.3265623380661208E-3</v>
      </c>
      <c r="BW57" s="251"/>
      <c r="BX57" s="252"/>
      <c r="BY57" s="322">
        <f t="shared" si="207"/>
        <v>1.9147713975703676E-4</v>
      </c>
      <c r="BZ57" s="251"/>
      <c r="CA57" s="253"/>
      <c r="CB57" s="321">
        <f t="shared" si="208"/>
        <v>1.3894678338196471E-3</v>
      </c>
      <c r="CC57" s="251"/>
      <c r="CD57" s="252"/>
      <c r="CE57" s="322">
        <f t="shared" si="209"/>
        <v>1.0053347492081711E-3</v>
      </c>
      <c r="CF57" s="251"/>
      <c r="CG57" s="252"/>
      <c r="CH57" s="322">
        <f t="shared" si="210"/>
        <v>1.2960344711506094E-3</v>
      </c>
      <c r="CI57" s="251"/>
      <c r="CJ57" s="252"/>
      <c r="CK57" s="322">
        <f t="shared" si="211"/>
        <v>2.1504268685508293E-3</v>
      </c>
      <c r="CL57" s="251"/>
      <c r="CM57" s="253"/>
      <c r="CN57" s="74"/>
    </row>
    <row r="58" spans="1:92" s="21" customFormat="1" ht="16.2" customHeight="1" x14ac:dyDescent="0.4">
      <c r="A58" s="157"/>
      <c r="B58" s="76" t="s">
        <v>206</v>
      </c>
      <c r="C58" s="77" t="s">
        <v>362</v>
      </c>
      <c r="D58" s="96">
        <f t="shared" si="184"/>
        <v>0.22273781902552206</v>
      </c>
      <c r="E58" s="97">
        <f t="shared" si="184"/>
        <v>0.28630278063851694</v>
      </c>
      <c r="F58" s="97">
        <f t="shared" si="184"/>
        <v>0.32042253521126762</v>
      </c>
      <c r="G58" s="98">
        <f t="shared" si="184"/>
        <v>0.22412072836118735</v>
      </c>
      <c r="H58" s="99">
        <f t="shared" si="184"/>
        <v>0.31332655137334692</v>
      </c>
      <c r="I58" s="283"/>
      <c r="J58" s="284"/>
      <c r="K58" s="100">
        <f t="shared" si="185"/>
        <v>0.31588132635253052</v>
      </c>
      <c r="L58" s="283"/>
      <c r="M58" s="284"/>
      <c r="N58" s="100">
        <f t="shared" si="186"/>
        <v>0.36778639104220495</v>
      </c>
      <c r="O58" s="283"/>
      <c r="P58" s="284"/>
      <c r="Q58" s="100">
        <f t="shared" si="187"/>
        <v>0.32196694328235376</v>
      </c>
      <c r="R58" s="283"/>
      <c r="S58" s="285"/>
      <c r="T58" s="99">
        <f t="shared" si="188"/>
        <v>0.41080914144533659</v>
      </c>
      <c r="U58" s="283"/>
      <c r="V58" s="284"/>
      <c r="W58" s="100">
        <f t="shared" si="189"/>
        <v>0.3870698450978573</v>
      </c>
      <c r="X58" s="283"/>
      <c r="Y58" s="284"/>
      <c r="Z58" s="100">
        <f t="shared" si="190"/>
        <v>0.47645505964163659</v>
      </c>
      <c r="AA58" s="283"/>
      <c r="AB58" s="284"/>
      <c r="AC58" s="100">
        <f t="shared" si="191"/>
        <v>0.44683607674214965</v>
      </c>
      <c r="AD58" s="283"/>
      <c r="AE58" s="285"/>
      <c r="AF58" s="99">
        <f t="shared" si="192"/>
        <v>0.4896149358226371</v>
      </c>
      <c r="AG58" s="283"/>
      <c r="AH58" s="284"/>
      <c r="AI58" s="100">
        <f t="shared" si="193"/>
        <v>0.51948804161666096</v>
      </c>
      <c r="AJ58" s="283"/>
      <c r="AK58" s="284"/>
      <c r="AL58" s="100">
        <f t="shared" si="194"/>
        <v>0.50529034732544709</v>
      </c>
      <c r="AM58" s="283"/>
      <c r="AN58" s="284"/>
      <c r="AO58" s="100">
        <f t="shared" si="195"/>
        <v>0.46891710850527291</v>
      </c>
      <c r="AP58" s="283"/>
      <c r="AQ58" s="285"/>
      <c r="AR58" s="99">
        <f t="shared" si="196"/>
        <v>0.47376458263213245</v>
      </c>
      <c r="AS58" s="283"/>
      <c r="AT58" s="284"/>
      <c r="AU58" s="100">
        <f t="shared" si="197"/>
        <v>0.37404735524764426</v>
      </c>
      <c r="AV58" s="283"/>
      <c r="AW58" s="284"/>
      <c r="AX58" s="100">
        <f t="shared" si="198"/>
        <v>0.47140696438655094</v>
      </c>
      <c r="AY58" s="283"/>
      <c r="AZ58" s="284"/>
      <c r="BA58" s="100">
        <f t="shared" si="199"/>
        <v>0.499796097879177</v>
      </c>
      <c r="BB58" s="283"/>
      <c r="BC58" s="285"/>
      <c r="BD58" s="99">
        <f t="shared" si="200"/>
        <v>0.33346521223082581</v>
      </c>
      <c r="BE58" s="283"/>
      <c r="BF58" s="284"/>
      <c r="BG58" s="100">
        <f t="shared" si="201"/>
        <v>0.3669612550074921</v>
      </c>
      <c r="BH58" s="283"/>
      <c r="BI58" s="284"/>
      <c r="BJ58" s="100">
        <f t="shared" si="202"/>
        <v>0.45997053783483155</v>
      </c>
      <c r="BK58" s="283"/>
      <c r="BL58" s="284"/>
      <c r="BM58" s="100">
        <f t="shared" si="203"/>
        <v>0.41048963147878098</v>
      </c>
      <c r="BN58" s="283"/>
      <c r="BO58" s="285"/>
      <c r="BP58" s="99">
        <f t="shared" si="204"/>
        <v>0.47946259955661386</v>
      </c>
      <c r="BQ58" s="283"/>
      <c r="BR58" s="284"/>
      <c r="BS58" s="100">
        <f t="shared" si="205"/>
        <v>0.47440897701274654</v>
      </c>
      <c r="BT58" s="283"/>
      <c r="BU58" s="284"/>
      <c r="BV58" s="100">
        <f t="shared" si="206"/>
        <v>0.42487304383873969</v>
      </c>
      <c r="BW58" s="283"/>
      <c r="BX58" s="284"/>
      <c r="BY58" s="100">
        <f t="shared" si="207"/>
        <v>0.42733442546220451</v>
      </c>
      <c r="BZ58" s="283"/>
      <c r="CA58" s="285"/>
      <c r="CB58" s="99">
        <f t="shared" si="208"/>
        <v>0.52563568153397244</v>
      </c>
      <c r="CC58" s="283"/>
      <c r="CD58" s="284"/>
      <c r="CE58" s="100">
        <f t="shared" si="209"/>
        <v>0.44413644471374536</v>
      </c>
      <c r="CF58" s="283"/>
      <c r="CG58" s="284"/>
      <c r="CH58" s="100">
        <f t="shared" si="210"/>
        <v>0.4314784891941022</v>
      </c>
      <c r="CI58" s="283"/>
      <c r="CJ58" s="284"/>
      <c r="CK58" s="100">
        <f t="shared" si="211"/>
        <v>0.4205257182668628</v>
      </c>
      <c r="CL58" s="283"/>
      <c r="CM58" s="285"/>
      <c r="CN58" s="74"/>
    </row>
    <row r="59" spans="1:92" s="101" customFormat="1" ht="16.2" customHeight="1" x14ac:dyDescent="0.4">
      <c r="A59" s="160"/>
      <c r="B59" s="83" t="s">
        <v>204</v>
      </c>
      <c r="C59" s="84" t="s">
        <v>406</v>
      </c>
      <c r="D59" s="318">
        <f t="shared" si="184"/>
        <v>0.1566125290023202</v>
      </c>
      <c r="E59" s="319">
        <f t="shared" si="184"/>
        <v>0.21421215242018538</v>
      </c>
      <c r="F59" s="319">
        <f t="shared" si="184"/>
        <v>0.22652582159624413</v>
      </c>
      <c r="G59" s="320">
        <f t="shared" si="184"/>
        <v>0.10900473933649288</v>
      </c>
      <c r="H59" s="321">
        <f t="shared" si="184"/>
        <v>0.19837232960325535</v>
      </c>
      <c r="I59" s="251"/>
      <c r="J59" s="252"/>
      <c r="K59" s="322">
        <f t="shared" si="185"/>
        <v>0.1963350785340314</v>
      </c>
      <c r="L59" s="251"/>
      <c r="M59" s="252"/>
      <c r="N59" s="322">
        <f t="shared" si="186"/>
        <v>0.18260120585701983</v>
      </c>
      <c r="O59" s="251"/>
      <c r="P59" s="252"/>
      <c r="Q59" s="322">
        <f t="shared" si="187"/>
        <v>0.10332624648515187</v>
      </c>
      <c r="R59" s="251"/>
      <c r="S59" s="253"/>
      <c r="T59" s="321">
        <f t="shared" si="188"/>
        <v>0.16195182211241504</v>
      </c>
      <c r="U59" s="251"/>
      <c r="V59" s="252"/>
      <c r="W59" s="322">
        <f t="shared" si="189"/>
        <v>0.16668212596234117</v>
      </c>
      <c r="X59" s="251"/>
      <c r="Y59" s="252"/>
      <c r="Z59" s="322">
        <f t="shared" si="190"/>
        <v>0.22931858085467913</v>
      </c>
      <c r="AA59" s="251"/>
      <c r="AB59" s="252"/>
      <c r="AC59" s="322">
        <f t="shared" si="191"/>
        <v>0.16117044044988812</v>
      </c>
      <c r="AD59" s="251"/>
      <c r="AE59" s="253"/>
      <c r="AF59" s="321">
        <f t="shared" si="192"/>
        <v>0.25577596266044345</v>
      </c>
      <c r="AG59" s="251"/>
      <c r="AH59" s="252"/>
      <c r="AI59" s="322">
        <f t="shared" si="193"/>
        <v>0.14803042724981336</v>
      </c>
      <c r="AJ59" s="251"/>
      <c r="AK59" s="252"/>
      <c r="AL59" s="322">
        <f t="shared" si="194"/>
        <v>0.23183906385718328</v>
      </c>
      <c r="AM59" s="251"/>
      <c r="AN59" s="252"/>
      <c r="AO59" s="322">
        <f t="shared" si="195"/>
        <v>0.2303839441811639</v>
      </c>
      <c r="AP59" s="251"/>
      <c r="AQ59" s="253"/>
      <c r="AR59" s="321">
        <f t="shared" si="196"/>
        <v>0.26428564192098442</v>
      </c>
      <c r="AS59" s="251"/>
      <c r="AT59" s="252"/>
      <c r="AU59" s="322">
        <f t="shared" si="197"/>
        <v>0.20538158827841371</v>
      </c>
      <c r="AV59" s="251"/>
      <c r="AW59" s="252"/>
      <c r="AX59" s="322">
        <f t="shared" si="198"/>
        <v>0.28837016955157507</v>
      </c>
      <c r="AY59" s="251"/>
      <c r="AZ59" s="252"/>
      <c r="BA59" s="322">
        <f t="shared" si="199"/>
        <v>0.3151806816786058</v>
      </c>
      <c r="BB59" s="251"/>
      <c r="BC59" s="253"/>
      <c r="BD59" s="321">
        <f t="shared" si="200"/>
        <v>0.23455603911151307</v>
      </c>
      <c r="BE59" s="251"/>
      <c r="BF59" s="252"/>
      <c r="BG59" s="322">
        <f t="shared" si="201"/>
        <v>0.22935078437968257</v>
      </c>
      <c r="BH59" s="251"/>
      <c r="BI59" s="252"/>
      <c r="BJ59" s="322">
        <f t="shared" si="202"/>
        <v>0.2946216516850555</v>
      </c>
      <c r="BK59" s="251"/>
      <c r="BL59" s="252"/>
      <c r="BM59" s="322">
        <f t="shared" si="203"/>
        <v>0.22479547195926741</v>
      </c>
      <c r="BN59" s="251"/>
      <c r="BO59" s="253"/>
      <c r="BP59" s="321">
        <f t="shared" si="204"/>
        <v>0.26885417521964033</v>
      </c>
      <c r="BQ59" s="251"/>
      <c r="BR59" s="252"/>
      <c r="BS59" s="322">
        <f t="shared" si="205"/>
        <v>0.29425863383810874</v>
      </c>
      <c r="BT59" s="251"/>
      <c r="BU59" s="252"/>
      <c r="BV59" s="322">
        <f t="shared" si="206"/>
        <v>0.25204684423256296</v>
      </c>
      <c r="BW59" s="251"/>
      <c r="BX59" s="252"/>
      <c r="BY59" s="322">
        <f t="shared" si="207"/>
        <v>0.24753739123034699</v>
      </c>
      <c r="BZ59" s="251"/>
      <c r="CA59" s="253"/>
      <c r="CB59" s="321">
        <f t="shared" si="208"/>
        <v>0.34425058059905911</v>
      </c>
      <c r="CC59" s="251"/>
      <c r="CD59" s="252"/>
      <c r="CE59" s="322">
        <f t="shared" si="209"/>
        <v>0.26373849573295038</v>
      </c>
      <c r="CF59" s="251"/>
      <c r="CG59" s="252"/>
      <c r="CH59" s="322">
        <f t="shared" si="210"/>
        <v>0.22852285733521849</v>
      </c>
      <c r="CI59" s="251"/>
      <c r="CJ59" s="252"/>
      <c r="CK59" s="322">
        <f t="shared" si="211"/>
        <v>0.24324614004368386</v>
      </c>
      <c r="CL59" s="251"/>
      <c r="CM59" s="253"/>
      <c r="CN59" s="74"/>
    </row>
    <row r="60" spans="1:92" s="101" customFormat="1" ht="16.2" customHeight="1" x14ac:dyDescent="0.4">
      <c r="A60" s="160"/>
      <c r="B60" s="83" t="s">
        <v>205</v>
      </c>
      <c r="C60" s="84" t="s">
        <v>407</v>
      </c>
      <c r="D60" s="318">
        <f t="shared" si="184"/>
        <v>6.612529002320186E-2</v>
      </c>
      <c r="E60" s="319">
        <f t="shared" si="184"/>
        <v>7.2090628218331607E-2</v>
      </c>
      <c r="F60" s="319">
        <f t="shared" si="184"/>
        <v>9.3896713615023483E-2</v>
      </c>
      <c r="G60" s="320">
        <f t="shared" si="184"/>
        <v>0.11511598902469439</v>
      </c>
      <c r="H60" s="321">
        <f t="shared" si="184"/>
        <v>0.11597151576805696</v>
      </c>
      <c r="I60" s="251"/>
      <c r="J60" s="252"/>
      <c r="K60" s="322">
        <f t="shared" si="185"/>
        <v>0.11867364746945899</v>
      </c>
      <c r="L60" s="251"/>
      <c r="M60" s="252"/>
      <c r="N60" s="322">
        <f t="shared" si="186"/>
        <v>0.18518518518518517</v>
      </c>
      <c r="O60" s="251"/>
      <c r="P60" s="252"/>
      <c r="Q60" s="322">
        <f t="shared" si="187"/>
        <v>0.2186406967972018</v>
      </c>
      <c r="R60" s="251"/>
      <c r="S60" s="253"/>
      <c r="T60" s="321">
        <f t="shared" si="188"/>
        <v>0.24885731933292154</v>
      </c>
      <c r="U60" s="251"/>
      <c r="V60" s="252"/>
      <c r="W60" s="322">
        <f t="shared" si="189"/>
        <v>0.22038771913551619</v>
      </c>
      <c r="X60" s="251"/>
      <c r="Y60" s="252"/>
      <c r="Z60" s="322">
        <f t="shared" si="190"/>
        <v>0.24713647878695741</v>
      </c>
      <c r="AA60" s="251"/>
      <c r="AB60" s="252"/>
      <c r="AC60" s="322">
        <f t="shared" si="191"/>
        <v>0.28566563629226138</v>
      </c>
      <c r="AD60" s="251"/>
      <c r="AE60" s="253"/>
      <c r="AF60" s="321">
        <f t="shared" si="192"/>
        <v>0.23383897316219368</v>
      </c>
      <c r="AG60" s="251"/>
      <c r="AH60" s="252"/>
      <c r="AI60" s="322">
        <f t="shared" si="193"/>
        <v>0.37145761436684754</v>
      </c>
      <c r="AJ60" s="251"/>
      <c r="AK60" s="252"/>
      <c r="AL60" s="322">
        <f t="shared" si="194"/>
        <v>0.27345128346826386</v>
      </c>
      <c r="AM60" s="251"/>
      <c r="AN60" s="252"/>
      <c r="AO60" s="322">
        <f t="shared" si="195"/>
        <v>0.23853316432410893</v>
      </c>
      <c r="AP60" s="251"/>
      <c r="AQ60" s="253"/>
      <c r="AR60" s="321">
        <f t="shared" si="196"/>
        <v>0.20947894071114803</v>
      </c>
      <c r="AS60" s="251"/>
      <c r="AT60" s="252"/>
      <c r="AU60" s="322">
        <f t="shared" si="197"/>
        <v>0.16866776775380937</v>
      </c>
      <c r="AV60" s="251"/>
      <c r="AW60" s="252"/>
      <c r="AX60" s="322">
        <f t="shared" si="198"/>
        <v>0.18303679483497584</v>
      </c>
      <c r="AY60" s="251"/>
      <c r="AZ60" s="252"/>
      <c r="BA60" s="322">
        <f t="shared" si="199"/>
        <v>0.1846154162005712</v>
      </c>
      <c r="BB60" s="251"/>
      <c r="BC60" s="253"/>
      <c r="BD60" s="321">
        <f t="shared" si="200"/>
        <v>9.8909173119312729E-2</v>
      </c>
      <c r="BE60" s="251"/>
      <c r="BF60" s="252"/>
      <c r="BG60" s="322">
        <f t="shared" si="201"/>
        <v>0.1345524601694138</v>
      </c>
      <c r="BH60" s="251"/>
      <c r="BI60" s="252"/>
      <c r="BJ60" s="322">
        <f t="shared" si="202"/>
        <v>0.16534888614977603</v>
      </c>
      <c r="BK60" s="251"/>
      <c r="BL60" s="252"/>
      <c r="BM60" s="322">
        <f t="shared" si="203"/>
        <v>0.18569415951951357</v>
      </c>
      <c r="BN60" s="251"/>
      <c r="BO60" s="253"/>
      <c r="BP60" s="321">
        <f t="shared" si="204"/>
        <v>0.21060842433697349</v>
      </c>
      <c r="BQ60" s="251"/>
      <c r="BR60" s="252"/>
      <c r="BS60" s="322">
        <f t="shared" si="205"/>
        <v>0.18015034317463777</v>
      </c>
      <c r="BT60" s="251"/>
      <c r="BU60" s="252"/>
      <c r="BV60" s="322">
        <f t="shared" si="206"/>
        <v>0.17282619960617676</v>
      </c>
      <c r="BW60" s="251"/>
      <c r="BX60" s="252"/>
      <c r="BY60" s="322">
        <f t="shared" si="207"/>
        <v>0.17979703423185756</v>
      </c>
      <c r="BZ60" s="251"/>
      <c r="CA60" s="253"/>
      <c r="CB60" s="321">
        <f t="shared" si="208"/>
        <v>0.18138510093491333</v>
      </c>
      <c r="CC60" s="251"/>
      <c r="CD60" s="252"/>
      <c r="CE60" s="322">
        <f t="shared" si="209"/>
        <v>0.18039794898079503</v>
      </c>
      <c r="CF60" s="251"/>
      <c r="CG60" s="252"/>
      <c r="CH60" s="322">
        <f t="shared" si="210"/>
        <v>0.20295563185888374</v>
      </c>
      <c r="CI60" s="251"/>
      <c r="CJ60" s="252"/>
      <c r="CK60" s="322">
        <f>IFERROR(CK36/CK$44,"")</f>
        <v>0.17727957822317897</v>
      </c>
      <c r="CL60" s="251"/>
      <c r="CM60" s="253"/>
      <c r="CN60" s="74"/>
    </row>
    <row r="61" spans="1:92" s="21" customFormat="1" ht="26.4" x14ac:dyDescent="0.4">
      <c r="A61" s="157"/>
      <c r="B61" s="76" t="s">
        <v>363</v>
      </c>
      <c r="C61" s="77" t="s">
        <v>364</v>
      </c>
      <c r="D61" s="96">
        <f t="shared" si="184"/>
        <v>2.4361948955916476E-2</v>
      </c>
      <c r="E61" s="97">
        <f t="shared" si="184"/>
        <v>1.4418125643666324E-2</v>
      </c>
      <c r="F61" s="97">
        <f t="shared" si="184"/>
        <v>2.2300469483568078E-2</v>
      </c>
      <c r="G61" s="98">
        <f t="shared" si="184"/>
        <v>3.9660763282614094E-2</v>
      </c>
      <c r="H61" s="99">
        <f t="shared" si="184"/>
        <v>2.8484231943031537E-2</v>
      </c>
      <c r="I61" s="283"/>
      <c r="J61" s="284"/>
      <c r="K61" s="100">
        <f t="shared" si="185"/>
        <v>3.3158813263525301E-2</v>
      </c>
      <c r="L61" s="283"/>
      <c r="M61" s="284"/>
      <c r="N61" s="100">
        <f t="shared" si="186"/>
        <v>2.8423772609819126E-2</v>
      </c>
      <c r="O61" s="283"/>
      <c r="P61" s="284"/>
      <c r="Q61" s="100">
        <f t="shared" si="187"/>
        <v>2.6884301488238102E-2</v>
      </c>
      <c r="R61" s="283"/>
      <c r="S61" s="285"/>
      <c r="T61" s="99">
        <f t="shared" si="188"/>
        <v>3.1995058678196416E-2</v>
      </c>
      <c r="U61" s="283"/>
      <c r="V61" s="284"/>
      <c r="W61" s="100">
        <f t="shared" si="189"/>
        <v>4.1600964660050081E-2</v>
      </c>
      <c r="X61" s="283"/>
      <c r="Y61" s="284"/>
      <c r="Z61" s="100">
        <f t="shared" si="190"/>
        <v>3.8367200580334493E-2</v>
      </c>
      <c r="AA61" s="283"/>
      <c r="AB61" s="284"/>
      <c r="AC61" s="100">
        <f t="shared" si="191"/>
        <v>2.4012051590225503E-2</v>
      </c>
      <c r="AD61" s="283"/>
      <c r="AE61" s="285"/>
      <c r="AF61" s="99">
        <f t="shared" si="192"/>
        <v>1.4889148191365227E-2</v>
      </c>
      <c r="AG61" s="283"/>
      <c r="AH61" s="284"/>
      <c r="AI61" s="100">
        <f t="shared" si="193"/>
        <v>3.1588742205355493E-2</v>
      </c>
      <c r="AJ61" s="283"/>
      <c r="AK61" s="284"/>
      <c r="AL61" s="100">
        <f t="shared" si="194"/>
        <v>1.6364630538457745E-2</v>
      </c>
      <c r="AM61" s="283"/>
      <c r="AN61" s="284"/>
      <c r="AO61" s="100">
        <f t="shared" si="195"/>
        <v>1.3786341665434446E-2</v>
      </c>
      <c r="AP61" s="283"/>
      <c r="AQ61" s="285"/>
      <c r="AR61" s="99">
        <f t="shared" si="196"/>
        <v>1.0509804429225339E-2</v>
      </c>
      <c r="AS61" s="283"/>
      <c r="AT61" s="284"/>
      <c r="AU61" s="100">
        <f t="shared" si="197"/>
        <v>5.9998103663158487E-3</v>
      </c>
      <c r="AV61" s="283"/>
      <c r="AW61" s="284"/>
      <c r="AX61" s="100">
        <f t="shared" si="198"/>
        <v>1.0594116076544157E-2</v>
      </c>
      <c r="AY61" s="283"/>
      <c r="AZ61" s="284"/>
      <c r="BA61" s="100">
        <f t="shared" si="199"/>
        <v>1.8990593497107529E-2</v>
      </c>
      <c r="BB61" s="283"/>
      <c r="BC61" s="285"/>
      <c r="BD61" s="99">
        <f t="shared" si="200"/>
        <v>1.6277623919064038E-2</v>
      </c>
      <c r="BE61" s="283"/>
      <c r="BF61" s="284"/>
      <c r="BG61" s="100">
        <f t="shared" si="201"/>
        <v>2.1406073208770374E-2</v>
      </c>
      <c r="BH61" s="283"/>
      <c r="BI61" s="284"/>
      <c r="BJ61" s="100">
        <f t="shared" si="202"/>
        <v>1.3047530288909601E-2</v>
      </c>
      <c r="BK61" s="283"/>
      <c r="BL61" s="284"/>
      <c r="BM61" s="100">
        <f t="shared" si="203"/>
        <v>6.302676783904693E-3</v>
      </c>
      <c r="BN61" s="283"/>
      <c r="BO61" s="285"/>
      <c r="BP61" s="99">
        <f t="shared" si="204"/>
        <v>7.0921257902947692E-3</v>
      </c>
      <c r="BQ61" s="283"/>
      <c r="BR61" s="284"/>
      <c r="BS61" s="100">
        <f t="shared" si="205"/>
        <v>5.2293278134873077E-3</v>
      </c>
      <c r="BT61" s="283"/>
      <c r="BU61" s="284"/>
      <c r="BV61" s="100">
        <f t="shared" si="206"/>
        <v>1.3244895844128924E-2</v>
      </c>
      <c r="BW61" s="283"/>
      <c r="BX61" s="284"/>
      <c r="BY61" s="100">
        <f t="shared" si="207"/>
        <v>2.7083377656745313E-2</v>
      </c>
      <c r="BZ61" s="283"/>
      <c r="CA61" s="285"/>
      <c r="CB61" s="99">
        <f t="shared" si="208"/>
        <v>2.7690108973977251E-2</v>
      </c>
      <c r="CC61" s="283"/>
      <c r="CD61" s="284"/>
      <c r="CE61" s="100">
        <f t="shared" si="209"/>
        <v>2.5644555890818599E-2</v>
      </c>
      <c r="CF61" s="283"/>
      <c r="CG61" s="284"/>
      <c r="CH61" s="100">
        <f t="shared" si="210"/>
        <v>7.2880899481586221E-3</v>
      </c>
      <c r="CI61" s="283"/>
      <c r="CJ61" s="284"/>
      <c r="CK61" s="100">
        <f t="shared" si="211"/>
        <v>1.5655215124393468E-2</v>
      </c>
      <c r="CL61" s="283"/>
      <c r="CM61" s="285"/>
      <c r="CN61" s="74"/>
    </row>
    <row r="62" spans="1:92" s="101" customFormat="1" ht="16.2" customHeight="1" x14ac:dyDescent="0.4">
      <c r="A62" s="160"/>
      <c r="B62" s="83" t="s">
        <v>204</v>
      </c>
      <c r="C62" s="84" t="s">
        <v>406</v>
      </c>
      <c r="D62" s="318">
        <f t="shared" si="184"/>
        <v>2.0881670533642694E-2</v>
      </c>
      <c r="E62" s="319">
        <f t="shared" si="184"/>
        <v>9.2687950566426348E-3</v>
      </c>
      <c r="F62" s="319">
        <f t="shared" si="184"/>
        <v>4.6948356807511738E-3</v>
      </c>
      <c r="G62" s="320">
        <f t="shared" si="184"/>
        <v>1.9955101022698915E-2</v>
      </c>
      <c r="H62" s="321">
        <f t="shared" si="184"/>
        <v>1.8311291963377416E-2</v>
      </c>
      <c r="I62" s="251"/>
      <c r="J62" s="252"/>
      <c r="K62" s="322">
        <f t="shared" si="185"/>
        <v>2.2687609075043629E-2</v>
      </c>
      <c r="L62" s="251"/>
      <c r="M62" s="252"/>
      <c r="N62" s="322">
        <f t="shared" si="186"/>
        <v>1.8087855297157621E-2</v>
      </c>
      <c r="O62" s="251"/>
      <c r="P62" s="252"/>
      <c r="Q62" s="322">
        <f t="shared" si="187"/>
        <v>2.1191962142514221E-2</v>
      </c>
      <c r="R62" s="251"/>
      <c r="S62" s="253"/>
      <c r="T62" s="321">
        <f t="shared" si="188"/>
        <v>2.2297714638665842E-2</v>
      </c>
      <c r="U62" s="251"/>
      <c r="V62" s="252"/>
      <c r="W62" s="322">
        <f t="shared" si="189"/>
        <v>2.1565717465912251E-2</v>
      </c>
      <c r="X62" s="251"/>
      <c r="Y62" s="252"/>
      <c r="Z62" s="322">
        <f t="shared" si="190"/>
        <v>1.6492032318757774E-2</v>
      </c>
      <c r="AA62" s="251"/>
      <c r="AB62" s="252"/>
      <c r="AC62" s="322">
        <f t="shared" si="191"/>
        <v>1.3112072100939601E-2</v>
      </c>
      <c r="AD62" s="251"/>
      <c r="AE62" s="253"/>
      <c r="AF62" s="321">
        <f t="shared" si="192"/>
        <v>1.0688448074679113E-2</v>
      </c>
      <c r="AG62" s="251"/>
      <c r="AH62" s="252"/>
      <c r="AI62" s="322">
        <f t="shared" si="193"/>
        <v>1.8019268672972159E-2</v>
      </c>
      <c r="AJ62" s="251"/>
      <c r="AK62" s="252"/>
      <c r="AL62" s="322">
        <f t="shared" si="194"/>
        <v>8.526503461968947E-3</v>
      </c>
      <c r="AM62" s="251"/>
      <c r="AN62" s="252"/>
      <c r="AO62" s="322">
        <f t="shared" si="195"/>
        <v>6.6199271187237108E-3</v>
      </c>
      <c r="AP62" s="251"/>
      <c r="AQ62" s="253"/>
      <c r="AR62" s="321">
        <f t="shared" si="196"/>
        <v>4.1113820232181429E-3</v>
      </c>
      <c r="AS62" s="251"/>
      <c r="AT62" s="252"/>
      <c r="AU62" s="322">
        <f t="shared" si="197"/>
        <v>2.1937076884928981E-3</v>
      </c>
      <c r="AV62" s="251"/>
      <c r="AW62" s="252"/>
      <c r="AX62" s="322">
        <f t="shared" si="198"/>
        <v>3.3799332625319631E-3</v>
      </c>
      <c r="AY62" s="251"/>
      <c r="AZ62" s="252"/>
      <c r="BA62" s="322">
        <f t="shared" si="199"/>
        <v>9.2386671067009579E-3</v>
      </c>
      <c r="BB62" s="251"/>
      <c r="BC62" s="253"/>
      <c r="BD62" s="321">
        <f t="shared" si="200"/>
        <v>1.03148137681569E-2</v>
      </c>
      <c r="BE62" s="251"/>
      <c r="BF62" s="252"/>
      <c r="BG62" s="322">
        <f t="shared" si="201"/>
        <v>1.3822207271948871E-2</v>
      </c>
      <c r="BH62" s="251"/>
      <c r="BI62" s="252"/>
      <c r="BJ62" s="322">
        <f t="shared" si="202"/>
        <v>4.7800859814207978E-3</v>
      </c>
      <c r="BK62" s="251"/>
      <c r="BL62" s="252"/>
      <c r="BM62" s="322">
        <f t="shared" si="203"/>
        <v>2.1997577794804616E-3</v>
      </c>
      <c r="BN62" s="251"/>
      <c r="BO62" s="253"/>
      <c r="BP62" s="321">
        <f t="shared" si="204"/>
        <v>1.634473273667789E-3</v>
      </c>
      <c r="BQ62" s="251"/>
      <c r="BR62" s="252"/>
      <c r="BS62" s="322">
        <f t="shared" si="205"/>
        <v>6.9724370846497435E-4</v>
      </c>
      <c r="BT62" s="251"/>
      <c r="BU62" s="252"/>
      <c r="BV62" s="322">
        <f t="shared" si="206"/>
        <v>5.7622551559747123E-3</v>
      </c>
      <c r="BW62" s="251"/>
      <c r="BX62" s="252"/>
      <c r="BY62" s="322">
        <f t="shared" si="207"/>
        <v>2.089228347126779E-2</v>
      </c>
      <c r="BZ62" s="251"/>
      <c r="CA62" s="253"/>
      <c r="CB62" s="321">
        <f t="shared" si="208"/>
        <v>1.387482879771333E-2</v>
      </c>
      <c r="CC62" s="251"/>
      <c r="CD62" s="252"/>
      <c r="CE62" s="322">
        <f t="shared" si="209"/>
        <v>9.9851892039997999E-3</v>
      </c>
      <c r="CF62" s="251"/>
      <c r="CG62" s="252"/>
      <c r="CH62" s="322">
        <f t="shared" si="210"/>
        <v>2.6257321753181176E-3</v>
      </c>
      <c r="CI62" s="251"/>
      <c r="CJ62" s="252"/>
      <c r="CK62" s="322">
        <f t="shared" si="211"/>
        <v>3.0747744178294752E-3</v>
      </c>
      <c r="CL62" s="251"/>
      <c r="CM62" s="253"/>
      <c r="CN62" s="74"/>
    </row>
    <row r="63" spans="1:92" s="101" customFormat="1" ht="16.2" customHeight="1" x14ac:dyDescent="0.4">
      <c r="A63" s="160"/>
      <c r="B63" s="83" t="s">
        <v>205</v>
      </c>
      <c r="C63" s="84" t="s">
        <v>407</v>
      </c>
      <c r="D63" s="318">
        <f t="shared" si="184"/>
        <v>3.4802784222737822E-3</v>
      </c>
      <c r="E63" s="319">
        <f t="shared" si="184"/>
        <v>5.1493305870236872E-3</v>
      </c>
      <c r="F63" s="319">
        <f t="shared" si="184"/>
        <v>1.7605633802816902E-2</v>
      </c>
      <c r="G63" s="320">
        <f t="shared" si="184"/>
        <v>1.9705662259915182E-2</v>
      </c>
      <c r="H63" s="321">
        <f t="shared" si="184"/>
        <v>1.0172939979654121E-2</v>
      </c>
      <c r="I63" s="251"/>
      <c r="J63" s="252"/>
      <c r="K63" s="322">
        <f t="shared" si="185"/>
        <v>1.0471204188481674E-2</v>
      </c>
      <c r="L63" s="251"/>
      <c r="M63" s="252"/>
      <c r="N63" s="322">
        <f t="shared" si="186"/>
        <v>1.0335917312661499E-2</v>
      </c>
      <c r="O63" s="251"/>
      <c r="P63" s="252"/>
      <c r="Q63" s="322">
        <f t="shared" si="187"/>
        <v>5.6923393457238838E-3</v>
      </c>
      <c r="R63" s="251"/>
      <c r="S63" s="253"/>
      <c r="T63" s="321">
        <f t="shared" si="188"/>
        <v>9.6973440395305734E-3</v>
      </c>
      <c r="U63" s="251"/>
      <c r="V63" s="252"/>
      <c r="W63" s="322">
        <f t="shared" si="189"/>
        <v>2.003524719413783E-2</v>
      </c>
      <c r="X63" s="251"/>
      <c r="Y63" s="252"/>
      <c r="Z63" s="322">
        <f t="shared" si="190"/>
        <v>2.1875168261576709E-2</v>
      </c>
      <c r="AA63" s="251"/>
      <c r="AB63" s="252"/>
      <c r="AC63" s="322">
        <f t="shared" si="191"/>
        <v>1.0944782272363113E-2</v>
      </c>
      <c r="AD63" s="251"/>
      <c r="AE63" s="253"/>
      <c r="AF63" s="321">
        <f t="shared" si="192"/>
        <v>4.2007001166861138E-3</v>
      </c>
      <c r="AG63" s="251"/>
      <c r="AH63" s="252"/>
      <c r="AI63" s="322">
        <f t="shared" si="193"/>
        <v>1.3569473532383339E-2</v>
      </c>
      <c r="AJ63" s="251"/>
      <c r="AK63" s="252"/>
      <c r="AL63" s="322">
        <f t="shared" si="194"/>
        <v>7.8381270764887982E-3</v>
      </c>
      <c r="AM63" s="251"/>
      <c r="AN63" s="252"/>
      <c r="AO63" s="322">
        <f t="shared" si="195"/>
        <v>7.1664145467107369E-3</v>
      </c>
      <c r="AP63" s="251"/>
      <c r="AQ63" s="253"/>
      <c r="AR63" s="321">
        <f t="shared" si="196"/>
        <v>6.3984224060071948E-3</v>
      </c>
      <c r="AS63" s="251"/>
      <c r="AT63" s="252"/>
      <c r="AU63" s="322">
        <f t="shared" si="197"/>
        <v>3.8375726454360133E-3</v>
      </c>
      <c r="AV63" s="251"/>
      <c r="AW63" s="252"/>
      <c r="AX63" s="322">
        <f t="shared" si="198"/>
        <v>7.214182814012194E-3</v>
      </c>
      <c r="AY63" s="251"/>
      <c r="AZ63" s="252"/>
      <c r="BA63" s="322">
        <f t="shared" si="199"/>
        <v>9.7519263904065692E-3</v>
      </c>
      <c r="BB63" s="251"/>
      <c r="BC63" s="253"/>
      <c r="BD63" s="321">
        <f t="shared" si="200"/>
        <v>5.962810150907139E-3</v>
      </c>
      <c r="BE63" s="251"/>
      <c r="BF63" s="252"/>
      <c r="BG63" s="322">
        <f t="shared" si="201"/>
        <v>7.278064890981927E-3</v>
      </c>
      <c r="BH63" s="251"/>
      <c r="BI63" s="252"/>
      <c r="BJ63" s="322">
        <f t="shared" si="202"/>
        <v>8.2674443074888023E-3</v>
      </c>
      <c r="BK63" s="251"/>
      <c r="BL63" s="252"/>
      <c r="BM63" s="322">
        <f t="shared" si="203"/>
        <v>4.1029190044242318E-3</v>
      </c>
      <c r="BN63" s="251"/>
      <c r="BO63" s="253"/>
      <c r="BP63" s="321">
        <f t="shared" si="204"/>
        <v>5.4576525166269811E-3</v>
      </c>
      <c r="BQ63" s="251"/>
      <c r="BR63" s="252"/>
      <c r="BS63" s="322">
        <f t="shared" si="205"/>
        <v>4.5320841050223333E-3</v>
      </c>
      <c r="BT63" s="251"/>
      <c r="BU63" s="252"/>
      <c r="BV63" s="322">
        <f t="shared" si="206"/>
        <v>7.482640688154212E-3</v>
      </c>
      <c r="BW63" s="251"/>
      <c r="BX63" s="252"/>
      <c r="BY63" s="322">
        <f t="shared" si="207"/>
        <v>6.1910941854775225E-3</v>
      </c>
      <c r="BZ63" s="251"/>
      <c r="CA63" s="253"/>
      <c r="CB63" s="321">
        <f t="shared" si="208"/>
        <v>1.3815280176263918E-2</v>
      </c>
      <c r="CC63" s="251"/>
      <c r="CD63" s="252"/>
      <c r="CE63" s="322">
        <f t="shared" si="209"/>
        <v>1.5659366686818801E-2</v>
      </c>
      <c r="CF63" s="251"/>
      <c r="CG63" s="252"/>
      <c r="CH63" s="322">
        <f t="shared" si="210"/>
        <v>4.6623577728405041E-3</v>
      </c>
      <c r="CI63" s="251"/>
      <c r="CJ63" s="252"/>
      <c r="CK63" s="322">
        <f t="shared" si="211"/>
        <v>1.2580440706563991E-2</v>
      </c>
      <c r="CL63" s="251"/>
      <c r="CM63" s="253"/>
      <c r="CN63" s="74"/>
    </row>
    <row r="64" spans="1:92" s="21" customFormat="1" ht="26.4" x14ac:dyDescent="0.4">
      <c r="A64" s="157"/>
      <c r="B64" s="76" t="s">
        <v>357</v>
      </c>
      <c r="C64" s="77" t="s">
        <v>358</v>
      </c>
      <c r="D64" s="96"/>
      <c r="E64" s="97"/>
      <c r="F64" s="97"/>
      <c r="G64" s="98"/>
      <c r="H64" s="99"/>
      <c r="I64" s="283"/>
      <c r="J64" s="284"/>
      <c r="K64" s="100"/>
      <c r="L64" s="283"/>
      <c r="M64" s="284"/>
      <c r="N64" s="100"/>
      <c r="O64" s="283"/>
      <c r="P64" s="284"/>
      <c r="Q64" s="100"/>
      <c r="R64" s="283"/>
      <c r="S64" s="285"/>
      <c r="T64" s="99"/>
      <c r="U64" s="283"/>
      <c r="V64" s="284"/>
      <c r="W64" s="100"/>
      <c r="X64" s="283"/>
      <c r="Y64" s="284"/>
      <c r="Z64" s="100"/>
      <c r="AA64" s="283"/>
      <c r="AB64" s="284"/>
      <c r="AC64" s="100"/>
      <c r="AD64" s="283"/>
      <c r="AE64" s="285"/>
      <c r="AF64" s="99"/>
      <c r="AG64" s="283"/>
      <c r="AH64" s="284"/>
      <c r="AI64" s="100"/>
      <c r="AJ64" s="283"/>
      <c r="AK64" s="284"/>
      <c r="AL64" s="100"/>
      <c r="AM64" s="283"/>
      <c r="AN64" s="284"/>
      <c r="AO64" s="100"/>
      <c r="AP64" s="283"/>
      <c r="AQ64" s="285"/>
      <c r="AR64" s="99"/>
      <c r="AS64" s="283"/>
      <c r="AT64" s="284"/>
      <c r="AU64" s="100"/>
      <c r="AV64" s="283"/>
      <c r="AW64" s="284"/>
      <c r="AX64" s="100"/>
      <c r="AY64" s="283"/>
      <c r="AZ64" s="284"/>
      <c r="BA64" s="100"/>
      <c r="BB64" s="283"/>
      <c r="BC64" s="285"/>
      <c r="BD64" s="99"/>
      <c r="BE64" s="283"/>
      <c r="BF64" s="284"/>
      <c r="BG64" s="100"/>
      <c r="BH64" s="283"/>
      <c r="BI64" s="284"/>
      <c r="BJ64" s="100"/>
      <c r="BK64" s="283"/>
      <c r="BL64" s="284"/>
      <c r="BM64" s="100"/>
      <c r="BN64" s="283"/>
      <c r="BO64" s="285"/>
      <c r="BP64" s="99"/>
      <c r="BQ64" s="283"/>
      <c r="BR64" s="284"/>
      <c r="BS64" s="100"/>
      <c r="BT64" s="283"/>
      <c r="BU64" s="284"/>
      <c r="BV64" s="100"/>
      <c r="BW64" s="283"/>
      <c r="BX64" s="284"/>
      <c r="BY64" s="100"/>
      <c r="BZ64" s="283"/>
      <c r="CA64" s="285"/>
      <c r="CB64" s="99"/>
      <c r="CC64" s="283"/>
      <c r="CD64" s="284"/>
      <c r="CE64" s="100"/>
      <c r="CF64" s="283"/>
      <c r="CG64" s="284"/>
      <c r="CH64" s="100"/>
      <c r="CI64" s="283"/>
      <c r="CJ64" s="284"/>
      <c r="CK64" s="100">
        <f t="shared" si="211"/>
        <v>0.15703357805913146</v>
      </c>
      <c r="CL64" s="283"/>
      <c r="CM64" s="285"/>
      <c r="CN64" s="74"/>
    </row>
    <row r="65" spans="1:92" s="101" customFormat="1" ht="16.2" customHeight="1" x14ac:dyDescent="0.4">
      <c r="A65" s="160"/>
      <c r="B65" s="83" t="s">
        <v>204</v>
      </c>
      <c r="C65" s="84" t="s">
        <v>406</v>
      </c>
      <c r="D65" s="318"/>
      <c r="E65" s="319"/>
      <c r="F65" s="319"/>
      <c r="G65" s="320"/>
      <c r="H65" s="321"/>
      <c r="I65" s="251"/>
      <c r="J65" s="252"/>
      <c r="K65" s="322"/>
      <c r="L65" s="251"/>
      <c r="M65" s="252"/>
      <c r="N65" s="322"/>
      <c r="O65" s="251"/>
      <c r="P65" s="252"/>
      <c r="Q65" s="322"/>
      <c r="R65" s="251"/>
      <c r="S65" s="253"/>
      <c r="T65" s="321"/>
      <c r="U65" s="251"/>
      <c r="V65" s="252"/>
      <c r="W65" s="322"/>
      <c r="X65" s="251"/>
      <c r="Y65" s="252"/>
      <c r="Z65" s="322"/>
      <c r="AA65" s="251"/>
      <c r="AB65" s="252"/>
      <c r="AC65" s="322"/>
      <c r="AD65" s="251"/>
      <c r="AE65" s="253"/>
      <c r="AF65" s="321"/>
      <c r="AG65" s="251"/>
      <c r="AH65" s="252"/>
      <c r="AI65" s="322"/>
      <c r="AJ65" s="251"/>
      <c r="AK65" s="252"/>
      <c r="AL65" s="322"/>
      <c r="AM65" s="251"/>
      <c r="AN65" s="252"/>
      <c r="AO65" s="322"/>
      <c r="AP65" s="251"/>
      <c r="AQ65" s="253"/>
      <c r="AR65" s="321"/>
      <c r="AS65" s="251"/>
      <c r="AT65" s="252"/>
      <c r="AU65" s="322"/>
      <c r="AV65" s="251"/>
      <c r="AW65" s="252"/>
      <c r="AX65" s="322"/>
      <c r="AY65" s="251"/>
      <c r="AZ65" s="252"/>
      <c r="BA65" s="322"/>
      <c r="BB65" s="251"/>
      <c r="BC65" s="253"/>
      <c r="BD65" s="321"/>
      <c r="BE65" s="251"/>
      <c r="BF65" s="252"/>
      <c r="BG65" s="322"/>
      <c r="BH65" s="251"/>
      <c r="BI65" s="252"/>
      <c r="BJ65" s="322"/>
      <c r="BK65" s="251"/>
      <c r="BL65" s="252"/>
      <c r="BM65" s="322"/>
      <c r="BN65" s="251"/>
      <c r="BO65" s="253"/>
      <c r="BP65" s="321"/>
      <c r="BQ65" s="251"/>
      <c r="BR65" s="252"/>
      <c r="BS65" s="322"/>
      <c r="BT65" s="251"/>
      <c r="BU65" s="252"/>
      <c r="BV65" s="322"/>
      <c r="BW65" s="251"/>
      <c r="BX65" s="252"/>
      <c r="BY65" s="322"/>
      <c r="BZ65" s="251"/>
      <c r="CA65" s="253"/>
      <c r="CB65" s="321"/>
      <c r="CC65" s="251"/>
      <c r="CD65" s="252"/>
      <c r="CE65" s="322"/>
      <c r="CF65" s="251"/>
      <c r="CG65" s="252"/>
      <c r="CH65" s="322"/>
      <c r="CI65" s="251"/>
      <c r="CJ65" s="252"/>
      <c r="CK65" s="322">
        <f t="shared" si="211"/>
        <v>0.11222227064336908</v>
      </c>
      <c r="CL65" s="251"/>
      <c r="CM65" s="253"/>
      <c r="CN65" s="74"/>
    </row>
    <row r="66" spans="1:92" s="101" customFormat="1" ht="16.2" customHeight="1" x14ac:dyDescent="0.4">
      <c r="A66" s="160"/>
      <c r="B66" s="83" t="s">
        <v>205</v>
      </c>
      <c r="C66" s="84" t="s">
        <v>407</v>
      </c>
      <c r="D66" s="318"/>
      <c r="E66" s="319"/>
      <c r="F66" s="319"/>
      <c r="G66" s="320"/>
      <c r="H66" s="321"/>
      <c r="I66" s="251"/>
      <c r="J66" s="252"/>
      <c r="K66" s="322"/>
      <c r="L66" s="251"/>
      <c r="M66" s="252"/>
      <c r="N66" s="322"/>
      <c r="O66" s="251"/>
      <c r="P66" s="252"/>
      <c r="Q66" s="322"/>
      <c r="R66" s="251"/>
      <c r="S66" s="253"/>
      <c r="T66" s="321"/>
      <c r="U66" s="251"/>
      <c r="V66" s="252"/>
      <c r="W66" s="322"/>
      <c r="X66" s="251"/>
      <c r="Y66" s="252"/>
      <c r="Z66" s="322"/>
      <c r="AA66" s="251"/>
      <c r="AB66" s="252"/>
      <c r="AC66" s="322"/>
      <c r="AD66" s="251"/>
      <c r="AE66" s="253"/>
      <c r="AF66" s="321"/>
      <c r="AG66" s="251"/>
      <c r="AH66" s="252"/>
      <c r="AI66" s="322"/>
      <c r="AJ66" s="251"/>
      <c r="AK66" s="252"/>
      <c r="AL66" s="322"/>
      <c r="AM66" s="251"/>
      <c r="AN66" s="252"/>
      <c r="AO66" s="322"/>
      <c r="AP66" s="251"/>
      <c r="AQ66" s="253"/>
      <c r="AR66" s="321"/>
      <c r="AS66" s="251"/>
      <c r="AT66" s="252"/>
      <c r="AU66" s="322"/>
      <c r="AV66" s="251"/>
      <c r="AW66" s="252"/>
      <c r="AX66" s="322"/>
      <c r="AY66" s="251"/>
      <c r="AZ66" s="252"/>
      <c r="BA66" s="322"/>
      <c r="BB66" s="251"/>
      <c r="BC66" s="253"/>
      <c r="BD66" s="321"/>
      <c r="BE66" s="251"/>
      <c r="BF66" s="252"/>
      <c r="BG66" s="322"/>
      <c r="BH66" s="251"/>
      <c r="BI66" s="252"/>
      <c r="BJ66" s="322"/>
      <c r="BK66" s="251"/>
      <c r="BL66" s="252"/>
      <c r="BM66" s="322"/>
      <c r="BN66" s="251"/>
      <c r="BO66" s="253"/>
      <c r="BP66" s="321"/>
      <c r="BQ66" s="251"/>
      <c r="BR66" s="252"/>
      <c r="BS66" s="322"/>
      <c r="BT66" s="251"/>
      <c r="BU66" s="252"/>
      <c r="BV66" s="322"/>
      <c r="BW66" s="251"/>
      <c r="BX66" s="252"/>
      <c r="BY66" s="322"/>
      <c r="BZ66" s="251"/>
      <c r="CA66" s="253"/>
      <c r="CB66" s="321"/>
      <c r="CC66" s="251"/>
      <c r="CD66" s="252"/>
      <c r="CE66" s="322"/>
      <c r="CF66" s="251"/>
      <c r="CG66" s="252"/>
      <c r="CH66" s="322"/>
      <c r="CI66" s="251"/>
      <c r="CJ66" s="252"/>
      <c r="CK66" s="322">
        <f t="shared" si="211"/>
        <v>4.4808579061672918E-2</v>
      </c>
      <c r="CL66" s="251"/>
      <c r="CM66" s="253"/>
      <c r="CN66" s="74"/>
    </row>
    <row r="67" spans="1:92" s="21" customFormat="1" ht="16.2" customHeight="1" x14ac:dyDescent="0.4">
      <c r="A67" s="157"/>
      <c r="B67" s="76" t="s">
        <v>359</v>
      </c>
      <c r="C67" s="77" t="s">
        <v>365</v>
      </c>
      <c r="D67" s="96" t="str">
        <f t="shared" ref="D67:H71" si="212">IFERROR(D43/D$44,"")</f>
        <v/>
      </c>
      <c r="E67" s="97" t="str">
        <f t="shared" si="212"/>
        <v/>
      </c>
      <c r="F67" s="97" t="str">
        <f t="shared" si="212"/>
        <v/>
      </c>
      <c r="G67" s="98" t="str">
        <f t="shared" si="212"/>
        <v/>
      </c>
      <c r="H67" s="99" t="str">
        <f t="shared" si="212"/>
        <v/>
      </c>
      <c r="I67" s="283"/>
      <c r="J67" s="284"/>
      <c r="K67" s="100" t="str">
        <f>IFERROR(K43/K$44,"")</f>
        <v/>
      </c>
      <c r="L67" s="283"/>
      <c r="M67" s="284"/>
      <c r="N67" s="100" t="str">
        <f>IFERROR(N43/N$44,"")</f>
        <v/>
      </c>
      <c r="O67" s="283"/>
      <c r="P67" s="284"/>
      <c r="Q67" s="100" t="str">
        <f>IFERROR(Q43/Q$44,"")</f>
        <v/>
      </c>
      <c r="R67" s="283"/>
      <c r="S67" s="285"/>
      <c r="T67" s="99" t="str">
        <f>IFERROR(T43/T$44,"")</f>
        <v/>
      </c>
      <c r="U67" s="283"/>
      <c r="V67" s="284"/>
      <c r="W67" s="100" t="str">
        <f>IFERROR(W43/W$44,"")</f>
        <v/>
      </c>
      <c r="X67" s="283"/>
      <c r="Y67" s="284"/>
      <c r="Z67" s="100" t="str">
        <f>IFERROR(Z43/Z$44,"")</f>
        <v/>
      </c>
      <c r="AA67" s="283"/>
      <c r="AB67" s="284"/>
      <c r="AC67" s="100" t="str">
        <f>IFERROR(AC43/AC$44,"")</f>
        <v/>
      </c>
      <c r="AD67" s="283"/>
      <c r="AE67" s="285"/>
      <c r="AF67" s="99" t="str">
        <f>IFERROR(AF43/AF$44,"")</f>
        <v/>
      </c>
      <c r="AG67" s="283"/>
      <c r="AH67" s="284"/>
      <c r="AI67" s="100" t="str">
        <f>IFERROR(AI43/AI$44,"")</f>
        <v/>
      </c>
      <c r="AJ67" s="283"/>
      <c r="AK67" s="284"/>
      <c r="AL67" s="100" t="str">
        <f>IFERROR(AL43/AL$44,"")</f>
        <v/>
      </c>
      <c r="AM67" s="283"/>
      <c r="AN67" s="284"/>
      <c r="AO67" s="100" t="str">
        <f>IFERROR(AO43/AO$44,"")</f>
        <v/>
      </c>
      <c r="AP67" s="283"/>
      <c r="AQ67" s="285"/>
      <c r="AR67" s="99" t="str">
        <f>IFERROR(AR43/AR$44,"")</f>
        <v/>
      </c>
      <c r="AS67" s="283"/>
      <c r="AT67" s="284"/>
      <c r="AU67" s="100" t="str">
        <f>IFERROR(AU43/AU$44,"")</f>
        <v/>
      </c>
      <c r="AV67" s="283"/>
      <c r="AW67" s="284"/>
      <c r="AX67" s="100" t="str">
        <f>IFERROR(AX43/AX$44,"")</f>
        <v/>
      </c>
      <c r="AY67" s="283"/>
      <c r="AZ67" s="284"/>
      <c r="BA67" s="100" t="str">
        <f>IFERROR(BA43/BA$44,"")</f>
        <v/>
      </c>
      <c r="BB67" s="283"/>
      <c r="BC67" s="285"/>
      <c r="BD67" s="99">
        <f>IFERROR(BD43/BD$44,"")</f>
        <v>1.4412479511671284E-2</v>
      </c>
      <c r="BE67" s="283"/>
      <c r="BF67" s="284"/>
      <c r="BG67" s="100">
        <f>IFERROR(BG43/BG$44,"")</f>
        <v>1.8378642854958563E-2</v>
      </c>
      <c r="BH67" s="283"/>
      <c r="BI67" s="284"/>
      <c r="BJ67" s="100">
        <f>IFERROR(BJ43/BJ$44,"")</f>
        <v>1.5903556504223915E-2</v>
      </c>
      <c r="BK67" s="283"/>
      <c r="BL67" s="284"/>
      <c r="BM67" s="100">
        <f>IFERROR(BM43/BM$44,"")</f>
        <v>1.2630069947354111E-2</v>
      </c>
      <c r="BN67" s="283"/>
      <c r="BO67" s="285"/>
      <c r="BP67" s="99">
        <f>IFERROR(BP43/BP$44,"")</f>
        <v>1.2598530256999753E-2</v>
      </c>
      <c r="BQ67" s="283"/>
      <c r="BR67" s="284"/>
      <c r="BS67" s="100">
        <f>IFERROR(BS43/BS$44,"")</f>
        <v>8.5630242945854661E-3</v>
      </c>
      <c r="BT67" s="283"/>
      <c r="BU67" s="284"/>
      <c r="BV67" s="100">
        <f>IFERROR(BV43/BV$44,"")</f>
        <v>8.3324696859778218E-3</v>
      </c>
      <c r="BW67" s="283"/>
      <c r="BX67" s="284"/>
      <c r="BY67" s="100">
        <f>IFERROR(BY43/BY$44,"")</f>
        <v>6.1272684722251764E-3</v>
      </c>
      <c r="BZ67" s="283"/>
      <c r="CA67" s="285"/>
      <c r="CB67" s="99">
        <f>IFERROR(CB43/CB$44,"")</f>
        <v>5.7960658210762413E-3</v>
      </c>
      <c r="CC67" s="283"/>
      <c r="CD67" s="284"/>
      <c r="CE67" s="100">
        <f>IFERROR(CE43/CE$44,"")</f>
        <v>4.4984470134060541E-3</v>
      </c>
      <c r="CF67" s="283"/>
      <c r="CG67" s="284"/>
      <c r="CH67" s="100">
        <f>IFERROR(CH43/CH$44,"")</f>
        <v>3.9722614959940752E-3</v>
      </c>
      <c r="CI67" s="283"/>
      <c r="CJ67" s="284"/>
      <c r="CK67" s="100">
        <f t="shared" si="211"/>
        <v>2.9537053851300633E-3</v>
      </c>
      <c r="CL67" s="283"/>
      <c r="CM67" s="285"/>
      <c r="CN67" s="74"/>
    </row>
    <row r="68" spans="1:92" s="153" customFormat="1" ht="16.2" customHeight="1" x14ac:dyDescent="0.4">
      <c r="A68" s="161"/>
      <c r="B68" s="151" t="s">
        <v>207</v>
      </c>
      <c r="C68" s="152" t="s">
        <v>7</v>
      </c>
      <c r="D68" s="323">
        <f t="shared" si="212"/>
        <v>1</v>
      </c>
      <c r="E68" s="324">
        <f t="shared" si="212"/>
        <v>1</v>
      </c>
      <c r="F68" s="324">
        <f t="shared" si="212"/>
        <v>1</v>
      </c>
      <c r="G68" s="325">
        <f t="shared" si="212"/>
        <v>1</v>
      </c>
      <c r="H68" s="326">
        <f t="shared" si="212"/>
        <v>1</v>
      </c>
      <c r="I68" s="327"/>
      <c r="J68" s="328"/>
      <c r="K68" s="329">
        <f>IFERROR(K44/K$44,"")</f>
        <v>1</v>
      </c>
      <c r="L68" s="327"/>
      <c r="M68" s="328"/>
      <c r="N68" s="329">
        <f>IFERROR(N44/N$44,"")</f>
        <v>1</v>
      </c>
      <c r="O68" s="327"/>
      <c r="P68" s="328"/>
      <c r="Q68" s="329">
        <f>IFERROR(Q44/Q$44,"")</f>
        <v>1</v>
      </c>
      <c r="R68" s="327"/>
      <c r="S68" s="330"/>
      <c r="T68" s="326">
        <f>IFERROR(T44/T$44,"")</f>
        <v>1</v>
      </c>
      <c r="U68" s="327"/>
      <c r="V68" s="328"/>
      <c r="W68" s="329">
        <f>IFERROR(W44/W$44,"")</f>
        <v>1</v>
      </c>
      <c r="X68" s="327"/>
      <c r="Y68" s="328"/>
      <c r="Z68" s="329">
        <f>IFERROR(Z44/Z$44,"")</f>
        <v>1</v>
      </c>
      <c r="AA68" s="327"/>
      <c r="AB68" s="328"/>
      <c r="AC68" s="329">
        <f>IFERROR(AC44/AC$44,"")</f>
        <v>1</v>
      </c>
      <c r="AD68" s="327"/>
      <c r="AE68" s="330"/>
      <c r="AF68" s="326">
        <f>IFERROR(AF44/AF$44,"")</f>
        <v>1</v>
      </c>
      <c r="AG68" s="327"/>
      <c r="AH68" s="328"/>
      <c r="AI68" s="329">
        <f>IFERROR(AI44/AI$44,"")</f>
        <v>1</v>
      </c>
      <c r="AJ68" s="327"/>
      <c r="AK68" s="328"/>
      <c r="AL68" s="329">
        <f>IFERROR(AL44/AL$44,"")</f>
        <v>1</v>
      </c>
      <c r="AM68" s="327"/>
      <c r="AN68" s="328"/>
      <c r="AO68" s="329">
        <f>IFERROR(AO44/AO$44,"")</f>
        <v>1</v>
      </c>
      <c r="AP68" s="327"/>
      <c r="AQ68" s="330"/>
      <c r="AR68" s="326">
        <f>IFERROR(AR44/AR$44,"")</f>
        <v>1</v>
      </c>
      <c r="AS68" s="327"/>
      <c r="AT68" s="328"/>
      <c r="AU68" s="329">
        <f>IFERROR(AU44/AU$44,"")</f>
        <v>1</v>
      </c>
      <c r="AV68" s="327"/>
      <c r="AW68" s="328"/>
      <c r="AX68" s="329">
        <f>IFERROR(AX44/AX$44,"")</f>
        <v>1</v>
      </c>
      <c r="AY68" s="327"/>
      <c r="AZ68" s="328"/>
      <c r="BA68" s="329">
        <f>IFERROR(BA44/BA$44,"")</f>
        <v>1</v>
      </c>
      <c r="BB68" s="327"/>
      <c r="BC68" s="330"/>
      <c r="BD68" s="326">
        <f>IFERROR(BD44/BD$44,"")</f>
        <v>1</v>
      </c>
      <c r="BE68" s="327"/>
      <c r="BF68" s="328"/>
      <c r="BG68" s="329">
        <f>IFERROR(BG44/BG$44,"")</f>
        <v>1</v>
      </c>
      <c r="BH68" s="327"/>
      <c r="BI68" s="328"/>
      <c r="BJ68" s="329">
        <f>IFERROR(BJ44/BJ$44,"")</f>
        <v>1</v>
      </c>
      <c r="BK68" s="327"/>
      <c r="BL68" s="328"/>
      <c r="BM68" s="329">
        <f>IFERROR(BM44/BM$44,"")</f>
        <v>1</v>
      </c>
      <c r="BN68" s="327"/>
      <c r="BO68" s="330"/>
      <c r="BP68" s="326">
        <f>IFERROR(BP44/BP$44,"")</f>
        <v>1</v>
      </c>
      <c r="BQ68" s="327"/>
      <c r="BR68" s="328"/>
      <c r="BS68" s="329">
        <f>IFERROR(BS44/BS$44,"")</f>
        <v>1</v>
      </c>
      <c r="BT68" s="327"/>
      <c r="BU68" s="328"/>
      <c r="BV68" s="329">
        <f>IFERROR(BV44/BV$44,"")</f>
        <v>1</v>
      </c>
      <c r="BW68" s="327"/>
      <c r="BX68" s="328"/>
      <c r="BY68" s="329">
        <f>IFERROR(BY44/BY$44,"")</f>
        <v>1</v>
      </c>
      <c r="BZ68" s="327"/>
      <c r="CA68" s="330"/>
      <c r="CB68" s="326">
        <f>IFERROR(CB44/CB$44,"")</f>
        <v>1</v>
      </c>
      <c r="CC68" s="327"/>
      <c r="CD68" s="328"/>
      <c r="CE68" s="329">
        <f>IFERROR(CE44/CE$44,"")</f>
        <v>1</v>
      </c>
      <c r="CF68" s="327"/>
      <c r="CG68" s="328"/>
      <c r="CH68" s="329">
        <f>IFERROR(CH44/CH$44,"")</f>
        <v>1</v>
      </c>
      <c r="CI68" s="327"/>
      <c r="CJ68" s="328"/>
      <c r="CK68" s="329">
        <f t="shared" si="211"/>
        <v>1</v>
      </c>
      <c r="CL68" s="327"/>
      <c r="CM68" s="330"/>
      <c r="CN68" s="74"/>
    </row>
    <row r="69" spans="1:92" s="101" customFormat="1" ht="16.2" customHeight="1" x14ac:dyDescent="0.4">
      <c r="A69" s="160"/>
      <c r="B69" s="83" t="s">
        <v>204</v>
      </c>
      <c r="C69" s="84" t="s">
        <v>406</v>
      </c>
      <c r="D69" s="318">
        <f t="shared" si="212"/>
        <v>0.74477958236658937</v>
      </c>
      <c r="E69" s="319">
        <f t="shared" si="212"/>
        <v>0.69824922760041186</v>
      </c>
      <c r="F69" s="319">
        <f t="shared" si="212"/>
        <v>0.61267605633802813</v>
      </c>
      <c r="G69" s="320">
        <f t="shared" si="212"/>
        <v>0.63494637066600124</v>
      </c>
      <c r="H69" s="321">
        <f t="shared" si="212"/>
        <v>0.63377416073245174</v>
      </c>
      <c r="I69" s="251"/>
      <c r="J69" s="252"/>
      <c r="K69" s="322">
        <f>IFERROR(K45/K$44,"")</f>
        <v>0.65706806282722507</v>
      </c>
      <c r="L69" s="251"/>
      <c r="M69" s="252"/>
      <c r="N69" s="322">
        <f>IFERROR(N45/N$44,"")</f>
        <v>0.54952627045650304</v>
      </c>
      <c r="O69" s="251"/>
      <c r="P69" s="252"/>
      <c r="Q69" s="322">
        <f>IFERROR(Q45/Q$44,"")</f>
        <v>0.50757835539400575</v>
      </c>
      <c r="R69" s="251"/>
      <c r="S69" s="253"/>
      <c r="T69" s="321">
        <f>IFERROR(T45/T$44,"")</f>
        <v>0.52717726991970348</v>
      </c>
      <c r="U69" s="251"/>
      <c r="V69" s="252"/>
      <c r="W69" s="322">
        <f>IFERROR(W45/W$44,"")</f>
        <v>0.48910119654948514</v>
      </c>
      <c r="X69" s="251"/>
      <c r="Y69" s="252"/>
      <c r="Z69" s="322">
        <f>IFERROR(Z45/Z$44,"")</f>
        <v>0.52494554141364336</v>
      </c>
      <c r="AA69" s="251"/>
      <c r="AB69" s="252"/>
      <c r="AC69" s="322">
        <f>IFERROR(AC45/AC$44,"")</f>
        <v>0.49431555729151411</v>
      </c>
      <c r="AD69" s="251"/>
      <c r="AE69" s="253"/>
      <c r="AF69" s="321">
        <f>IFERROR(AF45/AF$44,"")</f>
        <v>0.58954492415402571</v>
      </c>
      <c r="AG69" s="251"/>
      <c r="AH69" s="252"/>
      <c r="AI69" s="322">
        <f>IFERROR(AI45/AI$44,"")</f>
        <v>0.36924809966729827</v>
      </c>
      <c r="AJ69" s="251"/>
      <c r="AK69" s="252"/>
      <c r="AL69" s="322">
        <f>IFERROR(AL45/AL$44,"")</f>
        <v>0.56837384828057702</v>
      </c>
      <c r="AM69" s="251"/>
      <c r="AN69" s="252"/>
      <c r="AO69" s="322">
        <f>IFERROR(AO45/AO$44,"")</f>
        <v>0.61119850407389154</v>
      </c>
      <c r="AP69" s="251"/>
      <c r="AQ69" s="253"/>
      <c r="AR69" s="321">
        <f>IFERROR(AR45/AR$44,"")</f>
        <v>0.63935820096350149</v>
      </c>
      <c r="AS69" s="251"/>
      <c r="AT69" s="252"/>
      <c r="AU69" s="322">
        <f>IFERROR(AU45/AU$44,"")</f>
        <v>0.68892089616701224</v>
      </c>
      <c r="AV69" s="251"/>
      <c r="AW69" s="252"/>
      <c r="AX69" s="322">
        <f>IFERROR(AX45/AX$44,"")</f>
        <v>0.71849540422883817</v>
      </c>
      <c r="AY69" s="251"/>
      <c r="AZ69" s="252"/>
      <c r="BA69" s="322">
        <f>IFERROR(BA45/BA$44,"")</f>
        <v>0.73680344250108265</v>
      </c>
      <c r="BB69" s="251"/>
      <c r="BC69" s="253"/>
      <c r="BD69" s="321">
        <f>IFERROR(BD45/BD$44,"")</f>
        <v>0.5444243486124456</v>
      </c>
      <c r="BE69" s="251"/>
      <c r="BF69" s="252"/>
      <c r="BG69" s="322">
        <f>IFERROR(BG45/BG$44,"")</f>
        <v>0.59484419436714475</v>
      </c>
      <c r="BH69" s="251"/>
      <c r="BI69" s="252"/>
      <c r="BJ69" s="322">
        <f>IFERROR(BJ45/BJ$44,"")</f>
        <v>0.68722003427231471</v>
      </c>
      <c r="BK69" s="251"/>
      <c r="BL69" s="252"/>
      <c r="BM69" s="322">
        <f>IFERROR(BM45/BM$44,"")</f>
        <v>0.63899256036975705</v>
      </c>
      <c r="BN69" s="251"/>
      <c r="BO69" s="253"/>
      <c r="BP69" s="321">
        <f>IFERROR(BP45/BP$44,"")</f>
        <v>0.61692000574759842</v>
      </c>
      <c r="BQ69" s="251"/>
      <c r="BR69" s="252"/>
      <c r="BS69" s="322">
        <f>IFERROR(BS45/BS$44,"")</f>
        <v>0.68090205904782652</v>
      </c>
      <c r="BT69" s="251"/>
      <c r="BU69" s="252"/>
      <c r="BV69" s="322">
        <f>IFERROR(BV45/BV$44,"")</f>
        <v>0.64327909627940716</v>
      </c>
      <c r="BW69" s="251"/>
      <c r="BX69" s="252"/>
      <c r="BY69" s="322">
        <f>IFERROR(BY45/BY$44,"")</f>
        <v>0.65378805608152668</v>
      </c>
      <c r="BZ69" s="251"/>
      <c r="CA69" s="253"/>
      <c r="CB69" s="321">
        <f>IFERROR(CB45/CB$44,"")</f>
        <v>0.66791718771710429</v>
      </c>
      <c r="CC69" s="251"/>
      <c r="CD69" s="252"/>
      <c r="CE69" s="322">
        <f>IFERROR(CE45/CE$44,"")</f>
        <v>0.6868685560598512</v>
      </c>
      <c r="CF69" s="251"/>
      <c r="CG69" s="252"/>
      <c r="CH69" s="322">
        <f>IFERROR(CH45/CH$44,"")</f>
        <v>0.67701811081936314</v>
      </c>
      <c r="CI69" s="251"/>
      <c r="CJ69" s="252"/>
      <c r="CK69" s="322">
        <f t="shared" si="211"/>
        <v>0.66606054418657734</v>
      </c>
      <c r="CL69" s="251"/>
      <c r="CM69" s="253"/>
      <c r="CN69" s="74"/>
    </row>
    <row r="70" spans="1:92" s="102" customFormat="1" ht="16.2" customHeight="1" thickBot="1" x14ac:dyDescent="0.45">
      <c r="A70" s="160"/>
      <c r="B70" s="83" t="s">
        <v>205</v>
      </c>
      <c r="C70" s="84" t="s">
        <v>407</v>
      </c>
      <c r="D70" s="318">
        <f t="shared" si="212"/>
        <v>0.25522041763341069</v>
      </c>
      <c r="E70" s="319">
        <f t="shared" si="212"/>
        <v>0.30175077239958803</v>
      </c>
      <c r="F70" s="319">
        <f t="shared" si="212"/>
        <v>0.38732394366197181</v>
      </c>
      <c r="G70" s="320">
        <f t="shared" si="212"/>
        <v>0.36505362933399838</v>
      </c>
      <c r="H70" s="321">
        <f t="shared" si="212"/>
        <v>0.36622583926754831</v>
      </c>
      <c r="I70" s="251"/>
      <c r="J70" s="252"/>
      <c r="K70" s="322">
        <f>IFERROR(K46/K$44,"")</f>
        <v>0.34293193717277487</v>
      </c>
      <c r="L70" s="251"/>
      <c r="M70" s="252"/>
      <c r="N70" s="322">
        <f>IFERROR(N46/N$44,"")</f>
        <v>0.45047372954349707</v>
      </c>
      <c r="O70" s="251"/>
      <c r="P70" s="252"/>
      <c r="Q70" s="322">
        <f>IFERROR(Q46/Q$44,"")</f>
        <v>0.49242164460599397</v>
      </c>
      <c r="R70" s="251"/>
      <c r="S70" s="253"/>
      <c r="T70" s="321">
        <f>IFERROR(T46/T$44,"")</f>
        <v>0.47282273008029646</v>
      </c>
      <c r="U70" s="251"/>
      <c r="V70" s="252"/>
      <c r="W70" s="322">
        <f>IFERROR(W46/W$44,"")</f>
        <v>0.51089880345051486</v>
      </c>
      <c r="X70" s="251"/>
      <c r="Y70" s="252"/>
      <c r="Z70" s="322">
        <f>IFERROR(Z46/Z$44,"")</f>
        <v>0.47244731222577835</v>
      </c>
      <c r="AA70" s="251"/>
      <c r="AB70" s="252"/>
      <c r="AC70" s="322">
        <f>IFERROR(AC46/AC$44,"")</f>
        <v>0.50568444270848589</v>
      </c>
      <c r="AD70" s="251"/>
      <c r="AE70" s="253"/>
      <c r="AF70" s="321">
        <f>IFERROR(AF46/AF$44,"")</f>
        <v>0.41045507584597435</v>
      </c>
      <c r="AG70" s="251"/>
      <c r="AH70" s="252"/>
      <c r="AI70" s="322">
        <f>IFERROR(AI46/AI$44,"")</f>
        <v>0.63075190033270168</v>
      </c>
      <c r="AJ70" s="251"/>
      <c r="AK70" s="252"/>
      <c r="AL70" s="322">
        <f>IFERROR(AL46/AL$44,"")</f>
        <v>0.43162615171942292</v>
      </c>
      <c r="AM70" s="251"/>
      <c r="AN70" s="252"/>
      <c r="AO70" s="322">
        <f>IFERROR(AO46/AO$44,"")</f>
        <v>0.38880149592610841</v>
      </c>
      <c r="AP70" s="251"/>
      <c r="AQ70" s="253"/>
      <c r="AR70" s="321">
        <f>IFERROR(AR46/AR$44,"")</f>
        <v>0.36064179903649846</v>
      </c>
      <c r="AS70" s="251"/>
      <c r="AT70" s="252"/>
      <c r="AU70" s="322">
        <f>IFERROR(AU46/AU$44,"")</f>
        <v>0.31112461320425583</v>
      </c>
      <c r="AV70" s="251"/>
      <c r="AW70" s="252"/>
      <c r="AX70" s="322">
        <f>IFERROR(AX46/AX$44,"")</f>
        <v>0.28150459577116183</v>
      </c>
      <c r="AY70" s="251"/>
      <c r="AZ70" s="252"/>
      <c r="BA70" s="322">
        <f>IFERROR(BA46/BA$44,"")</f>
        <v>0.26319655749891741</v>
      </c>
      <c r="BB70" s="251"/>
      <c r="BC70" s="253"/>
      <c r="BD70" s="321">
        <f>IFERROR(BD46/BD$44,"")</f>
        <v>0.45557565138755451</v>
      </c>
      <c r="BE70" s="251"/>
      <c r="BF70" s="252"/>
      <c r="BG70" s="322">
        <f>IFERROR(BG46/BG$44,"")</f>
        <v>0.4048500045870157</v>
      </c>
      <c r="BH70" s="251"/>
      <c r="BI70" s="252"/>
      <c r="BJ70" s="322">
        <f>IFERROR(BJ46/BJ$44,"")</f>
        <v>0.31277996572768541</v>
      </c>
      <c r="BK70" s="251"/>
      <c r="BL70" s="252"/>
      <c r="BM70" s="322">
        <f>IFERROR(BM46/BM$44,"")</f>
        <v>0.36100743963024295</v>
      </c>
      <c r="BN70" s="251"/>
      <c r="BO70" s="253"/>
      <c r="BP70" s="321">
        <f>IFERROR(BP46/BP$44,"")</f>
        <v>0.38307999425240169</v>
      </c>
      <c r="BQ70" s="251"/>
      <c r="BR70" s="252"/>
      <c r="BS70" s="322">
        <f>IFERROR(BS46/BS$44,"")</f>
        <v>0.31909794095217342</v>
      </c>
      <c r="BT70" s="251"/>
      <c r="BU70" s="252"/>
      <c r="BV70" s="322">
        <f>IFERROR(BV46/BV$44,"")</f>
        <v>0.35672090372059279</v>
      </c>
      <c r="BW70" s="251"/>
      <c r="BX70" s="252"/>
      <c r="BY70" s="322">
        <f>IFERROR(BY46/BY$44,"")</f>
        <v>0.34621194391847326</v>
      </c>
      <c r="BZ70" s="251"/>
      <c r="CA70" s="253"/>
      <c r="CB70" s="321">
        <f>IFERROR(CB46/CB$44,"")</f>
        <v>0.3320828122828956</v>
      </c>
      <c r="CC70" s="251"/>
      <c r="CD70" s="252"/>
      <c r="CE70" s="322">
        <f>IFERROR(CE46/CE$44,"")</f>
        <v>0.3131314439401488</v>
      </c>
      <c r="CF70" s="251"/>
      <c r="CG70" s="252"/>
      <c r="CH70" s="322">
        <f>IFERROR(CH46/CH$44,"")</f>
        <v>0.32298188918063692</v>
      </c>
      <c r="CI70" s="251"/>
      <c r="CJ70" s="252"/>
      <c r="CK70" s="322">
        <f t="shared" si="211"/>
        <v>0.33393942553272421</v>
      </c>
      <c r="CL70" s="251"/>
      <c r="CM70" s="253"/>
      <c r="CN70" s="74"/>
    </row>
    <row r="71" spans="1:92" s="144" customFormat="1" ht="16.2" customHeight="1" thickBot="1" x14ac:dyDescent="0.45">
      <c r="A71" s="162"/>
      <c r="B71" s="145" t="s">
        <v>208</v>
      </c>
      <c r="C71" s="146" t="s">
        <v>8</v>
      </c>
      <c r="D71" s="635">
        <f t="shared" si="212"/>
        <v>1.9489559164733182E-2</v>
      </c>
      <c r="E71" s="636">
        <f t="shared" si="212"/>
        <v>4.9330587023686916E-2</v>
      </c>
      <c r="F71" s="636">
        <f t="shared" si="212"/>
        <v>3.2863849765258218E-2</v>
      </c>
      <c r="G71" s="637">
        <f t="shared" si="212"/>
        <v>9.4911449239211715E-2</v>
      </c>
      <c r="H71" s="331">
        <f t="shared" si="212"/>
        <v>6.4191251271617497E-2</v>
      </c>
      <c r="I71" s="332"/>
      <c r="J71" s="333"/>
      <c r="K71" s="334">
        <f>IFERROR(K47/K$44,"")</f>
        <v>8.3507853403141361E-2</v>
      </c>
      <c r="L71" s="332"/>
      <c r="M71" s="333"/>
      <c r="N71" s="334">
        <f>IFERROR(N47/N$44,"")</f>
        <v>9.4401378122308366E-2</v>
      </c>
      <c r="O71" s="332"/>
      <c r="P71" s="333"/>
      <c r="Q71" s="334">
        <f>IFERROR(Q47/Q$44,"")</f>
        <v>0.10143337219669434</v>
      </c>
      <c r="R71" s="332"/>
      <c r="S71" s="335"/>
      <c r="T71" s="331">
        <f>IFERROR(T47/T$44,"")</f>
        <v>7.4305126621371217E-2</v>
      </c>
      <c r="U71" s="332"/>
      <c r="V71" s="333"/>
      <c r="W71" s="334">
        <f>IFERROR(W47/W$44,"")</f>
        <v>0.10717929691123272</v>
      </c>
      <c r="X71" s="332"/>
      <c r="Y71" s="333"/>
      <c r="Z71" s="334">
        <f>IFERROR(Z47/Z$44,"")</f>
        <v>0.1602016394505891</v>
      </c>
      <c r="AA71" s="332"/>
      <c r="AB71" s="333"/>
      <c r="AC71" s="334">
        <f>IFERROR(AC47/AC$44,"")</f>
        <v>0.10999083245452676</v>
      </c>
      <c r="AD71" s="332"/>
      <c r="AE71" s="335"/>
      <c r="AF71" s="331">
        <f>IFERROR(AF47/AF$44,"")</f>
        <v>0.15155192532088679</v>
      </c>
      <c r="AG71" s="332"/>
      <c r="AH71" s="333"/>
      <c r="AI71" s="334">
        <f>IFERROR(AI47/AI$44,"")</f>
        <v>2.5626697811555386E-2</v>
      </c>
      <c r="AJ71" s="332"/>
      <c r="AK71" s="333"/>
      <c r="AL71" s="334">
        <f>IFERROR(AL47/AL$44,"")</f>
        <v>0.12266879456135635</v>
      </c>
      <c r="AM71" s="332"/>
      <c r="AN71" s="333"/>
      <c r="AO71" s="334">
        <f>IFERROR(AO47/AO$44,"")</f>
        <v>0.15299157200373018</v>
      </c>
      <c r="AP71" s="332"/>
      <c r="AQ71" s="335"/>
      <c r="AR71" s="331">
        <f>IFERROR(AR47/AR$44,"")</f>
        <v>0.10023185123398212</v>
      </c>
      <c r="AS71" s="332"/>
      <c r="AT71" s="333"/>
      <c r="AU71" s="334">
        <f>IFERROR(AU47/AU$44,"")</f>
        <v>8.817016788142551E-2</v>
      </c>
      <c r="AV71" s="332"/>
      <c r="AW71" s="333"/>
      <c r="AX71" s="334">
        <f>IFERROR(AX47/AX$44,"")</f>
        <v>0.18810575420000278</v>
      </c>
      <c r="AY71" s="332"/>
      <c r="AZ71" s="333"/>
      <c r="BA71" s="334">
        <f>IFERROR(BA47/BA$44,"")</f>
        <v>0.1691386747226791</v>
      </c>
      <c r="BB71" s="332"/>
      <c r="BC71" s="335"/>
      <c r="BD71" s="331">
        <f>IFERROR(BD47/BD$44,"")</f>
        <v>0.14319222291301648</v>
      </c>
      <c r="BE71" s="332"/>
      <c r="BF71" s="333"/>
      <c r="BG71" s="334">
        <f>IFERROR(BG47/BG$44,"")</f>
        <v>0.12232041833583071</v>
      </c>
      <c r="BH71" s="332"/>
      <c r="BI71" s="333"/>
      <c r="BJ71" s="334">
        <f>IFERROR(BJ47/BJ$44,"")</f>
        <v>0.23148844060968646</v>
      </c>
      <c r="BK71" s="332"/>
      <c r="BL71" s="333"/>
      <c r="BM71" s="334">
        <f>IFERROR(BM47/BM$44,"")</f>
        <v>0.24469215749277046</v>
      </c>
      <c r="BN71" s="332"/>
      <c r="BO71" s="335"/>
      <c r="BP71" s="331">
        <f>IFERROR(BP47/BP$44,"")</f>
        <v>0.23365013547910338</v>
      </c>
      <c r="BQ71" s="332"/>
      <c r="BR71" s="333"/>
      <c r="BS71" s="334">
        <f>IFERROR(BS47/BS$44,"")</f>
        <v>0.29397537858154482</v>
      </c>
      <c r="BT71" s="332"/>
      <c r="BU71" s="333"/>
      <c r="BV71" s="334">
        <f>IFERROR(BV47/BV$44,"")</f>
        <v>0.28384010778318991</v>
      </c>
      <c r="BW71" s="332"/>
      <c r="BX71" s="333"/>
      <c r="BY71" s="334">
        <f>IFERROR(BY47/BY$44,"")</f>
        <v>0.20019998723485735</v>
      </c>
      <c r="BZ71" s="332"/>
      <c r="CA71" s="638"/>
      <c r="CB71" s="331">
        <f>IFERROR(CB47/CB$44,"")</f>
        <v>0.22674130093888326</v>
      </c>
      <c r="CC71" s="332"/>
      <c r="CD71" s="333"/>
      <c r="CE71" s="334">
        <f>IFERROR(CE47/CE$44,"")</f>
        <v>0.20018089209656936</v>
      </c>
      <c r="CF71" s="332"/>
      <c r="CG71" s="333"/>
      <c r="CH71" s="334">
        <f>IFERROR(CH47/CH$44,"")</f>
        <v>0.23215848650104356</v>
      </c>
      <c r="CI71" s="332"/>
      <c r="CJ71" s="333"/>
      <c r="CK71" s="334">
        <f t="shared" si="211"/>
        <v>0.13405223491828733</v>
      </c>
      <c r="CL71" s="332"/>
      <c r="CM71" s="638"/>
      <c r="CN71" s="74"/>
    </row>
  </sheetData>
  <phoneticPr fontId="3" type="noConversion"/>
  <conditionalFormatting sqref="D1:CM1 BD3:CM3">
    <cfRule type="cellIs" dxfId="62" priority="7" operator="equal">
      <formula>0</formula>
    </cfRule>
  </conditionalFormatting>
  <conditionalFormatting sqref="D26:CM26">
    <cfRule type="cellIs" dxfId="61" priority="6" operator="equal">
      <formula>0</formula>
    </cfRule>
  </conditionalFormatting>
  <conditionalFormatting sqref="D50:CM50">
    <cfRule type="cellIs" dxfId="60" priority="5" operator="equal">
      <formula>0</formula>
    </cfRule>
  </conditionalFormatting>
  <conditionalFormatting sqref="H25:CM25 L28:M49 O28:P49 H49:J49 R49:CM49 H72:CM1048576">
    <cfRule type="cellIs" dxfId="59" priority="12" operator="lessThan">
      <formula>0</formula>
    </cfRule>
    <cfRule type="cellIs" dxfId="58" priority="13" operator="greaterThan">
      <formula>0</formula>
    </cfRule>
  </conditionalFormatting>
  <conditionalFormatting sqref="I4:J24 L4:M24 O4:P24 R4:S24 U4:V24 X4:Y24 AA4:AB24 AD4:AE24 AG4:AH24 AJ4:AK24 AM4:AN24 AP4:AQ24 AS4:AT24 AV4:AW24 AY4:AZ24 BB4:BC24 BE4:BF24 BH4:BI24 BK4:BL24 BN4:BO24 BQ4:BR24 BT4:BU24 BW4:BX24 BZ4:CA24 I28:J48 R28:S48 U28:V48 X28:Y48 AA28:AB48 AD28:AE48 AG28:AH48 AJ28:AK48 AM28:AN48 AP28:AQ48 AS28:AT48 AV28:AW48 AY28:AZ48 BB28:BC48 BE28:BF48 BH28:BI48 BK28:BL48 BN28:BO48 BQ28:BR48 BT28:BU48 BW28:BX48 BZ28:CA48">
    <cfRule type="cellIs" dxfId="57" priority="14" operator="lessThan">
      <formula>0</formula>
    </cfRule>
    <cfRule type="cellIs" dxfId="56" priority="15" operator="greaterThan">
      <formula>0</formula>
    </cfRule>
  </conditionalFormatting>
  <conditionalFormatting sqref="I52:J71 L52:M71 O52:P71 R52:S71 U52:V71 X52:Y71 AA52:AB71 AD52:AE71 AG52:AH71 AJ52:AK71 AM52:AN71 AP52:AQ71 AS52:AT71 AV52:AW71 AY52:AZ71 BB52:BC71 BE52:BF71 BH52:BI71 BK52:BL71 BN52:BO71 BQ52:BR71 BT52:BU71 BW52:BX71 BZ52:CA71">
    <cfRule type="cellIs" dxfId="55" priority="10" operator="lessThan">
      <formula>0</formula>
    </cfRule>
    <cfRule type="cellIs" dxfId="54" priority="11" operator="greaterThan">
      <formula>0</formula>
    </cfRule>
  </conditionalFormatting>
  <conditionalFormatting sqref="BP13">
    <cfRule type="cellIs" dxfId="53" priority="8" operator="lessThan">
      <formula>0</formula>
    </cfRule>
    <cfRule type="cellIs" dxfId="52" priority="9" operator="greaterThan">
      <formula>0</formula>
    </cfRule>
  </conditionalFormatting>
  <conditionalFormatting sqref="CC4:CD24 CF4:CG24 CI4:CJ24 CL4:CM24 CC28:CD48 CF28:CG48 CI28:CJ48 CL28:CM48">
    <cfRule type="cellIs" dxfId="51" priority="3" operator="lessThan">
      <formula>0</formula>
    </cfRule>
    <cfRule type="cellIs" dxfId="50" priority="4" operator="greaterThan">
      <formula>0</formula>
    </cfRule>
  </conditionalFormatting>
  <conditionalFormatting sqref="CC52:CD71 CF52:CG71 CI52:CJ71 CL52:CM71">
    <cfRule type="cellIs" dxfId="49" priority="1" operator="lessThan">
      <formula>0</formula>
    </cfRule>
    <cfRule type="cellIs" dxfId="4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B1A40-29B1-4A58-A1C2-7C567E8E41C3}">
  <dimension ref="A1:AE71"/>
  <sheetViews>
    <sheetView showGridLines="0" view="pageBreakPreview" zoomScaleNormal="100" zoomScaleSheetLayoutView="100" workbookViewId="0">
      <selection activeCell="AQ27" sqref="AQ27"/>
    </sheetView>
  </sheetViews>
  <sheetFormatPr defaultRowHeight="17.399999999999999" outlineLevelCol="1" x14ac:dyDescent="0.4"/>
  <cols>
    <col min="1" max="1" width="3.19921875" style="156" customWidth="1"/>
    <col min="2" max="2" width="14.5" style="103" customWidth="1"/>
    <col min="3" max="3" width="14.59765625" style="103" customWidth="1"/>
    <col min="4" max="19" width="9.19921875" style="492" hidden="1" customWidth="1" outlineLevel="1"/>
    <col min="20" max="20" width="9.19921875" style="492" hidden="1" customWidth="1" outlineLevel="1" collapsed="1"/>
    <col min="21" max="27" width="9.19921875" style="492" hidden="1" customWidth="1" outlineLevel="1"/>
    <col min="28" max="28" width="9.19921875" style="492" customWidth="1" collapsed="1"/>
    <col min="29" max="31" width="9.19921875" style="492" customWidth="1"/>
    <col min="32" max="16384" width="8.796875" style="675"/>
  </cols>
  <sheetData>
    <row r="1" spans="1:31" x14ac:dyDescent="0.4">
      <c r="A1" s="157"/>
      <c r="B1" s="40" t="s">
        <v>394</v>
      </c>
      <c r="C1" s="41"/>
      <c r="D1" s="671"/>
      <c r="E1" s="672"/>
      <c r="F1" s="672"/>
      <c r="G1" s="672"/>
      <c r="H1" s="671"/>
      <c r="I1" s="672"/>
      <c r="J1" s="672"/>
      <c r="K1" s="672"/>
      <c r="L1" s="671"/>
      <c r="M1" s="672"/>
      <c r="N1" s="672"/>
      <c r="O1" s="672"/>
      <c r="P1" s="673"/>
      <c r="Q1" s="674"/>
      <c r="R1" s="674"/>
      <c r="S1" s="674"/>
      <c r="T1" s="673"/>
      <c r="U1" s="674"/>
      <c r="V1" s="674"/>
      <c r="W1" s="674"/>
      <c r="X1" s="673"/>
      <c r="Y1" s="674"/>
      <c r="Z1" s="674"/>
      <c r="AA1" s="674"/>
      <c r="AB1" s="673"/>
      <c r="AC1" s="674"/>
      <c r="AD1" s="674"/>
      <c r="AE1" s="674"/>
    </row>
    <row r="2" spans="1:31" ht="18" thickBot="1" x14ac:dyDescent="0.45">
      <c r="B2" s="40" t="s">
        <v>127</v>
      </c>
      <c r="C2" s="44"/>
      <c r="D2" s="676" t="s">
        <v>395</v>
      </c>
      <c r="E2" s="677"/>
      <c r="F2" s="677"/>
      <c r="G2" s="677"/>
      <c r="H2" s="676" t="s">
        <v>396</v>
      </c>
      <c r="I2" s="677"/>
      <c r="J2" s="677"/>
      <c r="K2" s="677"/>
      <c r="L2" s="676" t="s">
        <v>397</v>
      </c>
      <c r="M2" s="677"/>
      <c r="N2" s="677"/>
      <c r="O2" s="677"/>
      <c r="P2" s="676" t="s">
        <v>398</v>
      </c>
      <c r="Q2" s="677"/>
      <c r="R2" s="677"/>
      <c r="S2" s="677"/>
      <c r="T2" s="676" t="s">
        <v>399</v>
      </c>
      <c r="U2" s="677"/>
      <c r="V2" s="677"/>
      <c r="W2" s="677"/>
      <c r="X2" s="676" t="s">
        <v>400</v>
      </c>
      <c r="Y2" s="677"/>
      <c r="Z2" s="677"/>
      <c r="AA2" s="677"/>
      <c r="AB2" s="676" t="s">
        <v>401</v>
      </c>
      <c r="AE2" s="11" t="s">
        <v>405</v>
      </c>
    </row>
    <row r="3" spans="1:31" s="681" customFormat="1" x14ac:dyDescent="0.4">
      <c r="A3" s="156">
        <v>1</v>
      </c>
      <c r="B3" s="197" t="s">
        <v>189</v>
      </c>
      <c r="C3" s="198"/>
      <c r="D3" s="678" t="s">
        <v>377</v>
      </c>
      <c r="E3" s="679" t="s">
        <v>378</v>
      </c>
      <c r="F3" s="679" t="s">
        <v>379</v>
      </c>
      <c r="G3" s="679" t="s">
        <v>380</v>
      </c>
      <c r="H3" s="678" t="s">
        <v>381</v>
      </c>
      <c r="I3" s="679" t="s">
        <v>382</v>
      </c>
      <c r="J3" s="679" t="s">
        <v>383</v>
      </c>
      <c r="K3" s="679" t="s">
        <v>384</v>
      </c>
      <c r="L3" s="678" t="s">
        <v>385</v>
      </c>
      <c r="M3" s="679" t="s">
        <v>386</v>
      </c>
      <c r="N3" s="679" t="s">
        <v>387</v>
      </c>
      <c r="O3" s="679" t="s">
        <v>388</v>
      </c>
      <c r="P3" s="678" t="s">
        <v>343</v>
      </c>
      <c r="Q3" s="679" t="s">
        <v>390</v>
      </c>
      <c r="R3" s="679" t="s">
        <v>391</v>
      </c>
      <c r="S3" s="679" t="s">
        <v>392</v>
      </c>
      <c r="T3" s="678" t="s">
        <v>312</v>
      </c>
      <c r="U3" s="680" t="s">
        <v>370</v>
      </c>
      <c r="V3" s="680" t="s">
        <v>371</v>
      </c>
      <c r="W3" s="680" t="s">
        <v>372</v>
      </c>
      <c r="X3" s="678" t="s">
        <v>316</v>
      </c>
      <c r="Y3" s="680" t="s">
        <v>374</v>
      </c>
      <c r="Z3" s="680" t="s">
        <v>375</v>
      </c>
      <c r="AA3" s="680" t="s">
        <v>376</v>
      </c>
      <c r="AB3" s="678" t="s">
        <v>214</v>
      </c>
      <c r="AC3" s="679" t="s">
        <v>251</v>
      </c>
      <c r="AD3" s="679" t="s">
        <v>252</v>
      </c>
      <c r="AE3" s="680" t="s">
        <v>253</v>
      </c>
    </row>
    <row r="4" spans="1:31" x14ac:dyDescent="0.4">
      <c r="A4" s="156">
        <v>2</v>
      </c>
      <c r="B4" s="47" t="s">
        <v>185</v>
      </c>
      <c r="C4" s="48" t="s">
        <v>215</v>
      </c>
      <c r="D4" s="682">
        <v>9.83</v>
      </c>
      <c r="E4" s="683">
        <v>21.29</v>
      </c>
      <c r="F4" s="683">
        <v>32.9</v>
      </c>
      <c r="G4" s="684">
        <v>47.481999999999999</v>
      </c>
      <c r="H4" s="682">
        <v>16.193000000000001</v>
      </c>
      <c r="I4" s="683">
        <v>37.754000000000005</v>
      </c>
      <c r="J4" s="683">
        <v>58.812471828</v>
      </c>
      <c r="K4" s="684">
        <v>81.132999999999996</v>
      </c>
      <c r="L4" s="682">
        <v>21.428999999999998</v>
      </c>
      <c r="M4" s="683">
        <v>36.019129124000003</v>
      </c>
      <c r="N4" s="683">
        <v>55.583129124000003</v>
      </c>
      <c r="O4" s="684">
        <v>76.460999999999999</v>
      </c>
      <c r="P4" s="682">
        <v>21.32</v>
      </c>
      <c r="Q4" s="683">
        <v>50.81</v>
      </c>
      <c r="R4" s="683">
        <v>75.27600000000001</v>
      </c>
      <c r="S4" s="684">
        <v>100.596</v>
      </c>
      <c r="T4" s="682">
        <v>35.381</v>
      </c>
      <c r="U4" s="683">
        <v>68.064999999999998</v>
      </c>
      <c r="V4" s="683">
        <v>101.333</v>
      </c>
      <c r="W4" s="684">
        <v>141.80000000000001</v>
      </c>
      <c r="X4" s="682">
        <v>38.973999999999997</v>
      </c>
      <c r="Y4" s="683">
        <v>84.872</v>
      </c>
      <c r="Z4" s="683">
        <v>133.11799999999999</v>
      </c>
      <c r="AA4" s="684">
        <v>180.12299999999999</v>
      </c>
      <c r="AB4" s="682">
        <v>50.378999999999998</v>
      </c>
      <c r="AC4" s="683">
        <v>109.12</v>
      </c>
      <c r="AD4" s="683">
        <v>168.53399999999999</v>
      </c>
      <c r="AE4" s="684">
        <v>242.93783225300001</v>
      </c>
    </row>
    <row r="5" spans="1:31" x14ac:dyDescent="0.4">
      <c r="A5" s="156">
        <v>3</v>
      </c>
      <c r="B5" s="53" t="s">
        <v>190</v>
      </c>
      <c r="C5" s="54" t="s">
        <v>63</v>
      </c>
      <c r="D5" s="685">
        <v>-3.49</v>
      </c>
      <c r="E5" s="686">
        <v>-6.4700000000000006</v>
      </c>
      <c r="F5" s="686">
        <v>-9.5400000000000009</v>
      </c>
      <c r="G5" s="687">
        <v>-12.734</v>
      </c>
      <c r="H5" s="685">
        <v>-3.9180000000000001</v>
      </c>
      <c r="I5" s="686">
        <v>-9.2040000000000006</v>
      </c>
      <c r="J5" s="686">
        <v>-13.212881530000001</v>
      </c>
      <c r="K5" s="687">
        <v>-17.228000000000002</v>
      </c>
      <c r="L5" s="685">
        <v>-3.91</v>
      </c>
      <c r="M5" s="688">
        <v>-7.0978267989999999</v>
      </c>
      <c r="N5" s="688">
        <v>-10.672826798999999</v>
      </c>
      <c r="O5" s="689">
        <v>-15.500999999999998</v>
      </c>
      <c r="P5" s="690">
        <v>-4.5940000000000003</v>
      </c>
      <c r="Q5" s="688">
        <v>-10.994</v>
      </c>
      <c r="R5" s="688">
        <v>-16.306999999999999</v>
      </c>
      <c r="S5" s="689">
        <v>-22.744</v>
      </c>
      <c r="T5" s="690">
        <v>-8.8000000000000007</v>
      </c>
      <c r="U5" s="688">
        <v>-17.076999999999998</v>
      </c>
      <c r="V5" s="688">
        <v>-24.393999999999998</v>
      </c>
      <c r="W5" s="689">
        <v>-33.634999999999998</v>
      </c>
      <c r="X5" s="690">
        <v>-8.7639999999999993</v>
      </c>
      <c r="Y5" s="688">
        <v>-18.341000000000001</v>
      </c>
      <c r="Z5" s="688">
        <v>-29.575000000000003</v>
      </c>
      <c r="AA5" s="689">
        <v>-39.674000000000007</v>
      </c>
      <c r="AB5" s="690">
        <v>-10.177</v>
      </c>
      <c r="AC5" s="688">
        <v>-21.405000000000001</v>
      </c>
      <c r="AD5" s="688">
        <v>-34.219000000000001</v>
      </c>
      <c r="AE5" s="689">
        <v>-51.811629616000005</v>
      </c>
    </row>
    <row r="6" spans="1:31" x14ac:dyDescent="0.4">
      <c r="A6" s="156">
        <v>4</v>
      </c>
      <c r="B6" s="59" t="s">
        <v>80</v>
      </c>
      <c r="C6" s="60" t="s">
        <v>125</v>
      </c>
      <c r="D6" s="691">
        <v>-0.35503560528992884</v>
      </c>
      <c r="E6" s="692">
        <v>-0.30389854391733212</v>
      </c>
      <c r="F6" s="692">
        <v>-0.28996960486322193</v>
      </c>
      <c r="G6" s="693">
        <v>-0.26818583884419361</v>
      </c>
      <c r="H6" s="691">
        <v>-0.24195640091397516</v>
      </c>
      <c r="I6" s="692">
        <v>-0.2437887376172061</v>
      </c>
      <c r="J6" s="692">
        <v>-0.22466121758394597</v>
      </c>
      <c r="K6" s="693">
        <v>-0.21234269655996946</v>
      </c>
      <c r="L6" s="691">
        <v>-0.18246301740631857</v>
      </c>
      <c r="M6" s="692">
        <v>-0.19705714634479121</v>
      </c>
      <c r="N6" s="692">
        <v>-0.19201558039652764</v>
      </c>
      <c r="O6" s="693">
        <v>-0.20273080393926313</v>
      </c>
      <c r="P6" s="691">
        <v>-0.21547842401500938</v>
      </c>
      <c r="Q6" s="692">
        <v>-0.21637472938397953</v>
      </c>
      <c r="R6" s="692">
        <v>-0.21662947021627074</v>
      </c>
      <c r="S6" s="693">
        <v>-0.22609248876694898</v>
      </c>
      <c r="T6" s="691">
        <v>0.24872106497837823</v>
      </c>
      <c r="U6" s="692">
        <v>0.25089252920002936</v>
      </c>
      <c r="V6" s="692">
        <v>0.24073105503636524</v>
      </c>
      <c r="W6" s="693">
        <v>0.23720028208744706</v>
      </c>
      <c r="X6" s="691">
        <v>0.22486786062503208</v>
      </c>
      <c r="Y6" s="692">
        <v>0.21610189461777737</v>
      </c>
      <c r="Z6" s="692">
        <v>0.22217130666025633</v>
      </c>
      <c r="AA6" s="693">
        <v>0.22026059970131526</v>
      </c>
      <c r="AB6" s="691">
        <v>0.20200877349689356</v>
      </c>
      <c r="AC6" s="692">
        <v>0.19616019061583578</v>
      </c>
      <c r="AD6" s="692">
        <v>0.20303914937045345</v>
      </c>
      <c r="AE6" s="693">
        <v>0.21327114486656984</v>
      </c>
    </row>
    <row r="7" spans="1:31" x14ac:dyDescent="0.4">
      <c r="A7" s="156">
        <v>5</v>
      </c>
      <c r="B7" s="61" t="s">
        <v>191</v>
      </c>
      <c r="C7" s="62" t="s">
        <v>347</v>
      </c>
      <c r="D7" s="694">
        <v>6.34</v>
      </c>
      <c r="E7" s="695">
        <v>14.82</v>
      </c>
      <c r="F7" s="695">
        <v>23.36</v>
      </c>
      <c r="G7" s="696">
        <v>34.748000000000005</v>
      </c>
      <c r="H7" s="694">
        <v>12.275000000000002</v>
      </c>
      <c r="I7" s="695">
        <v>28.55</v>
      </c>
      <c r="J7" s="695">
        <v>45.599590297999995</v>
      </c>
      <c r="K7" s="696">
        <v>63.904999999999994</v>
      </c>
      <c r="L7" s="694">
        <v>17.518999999999998</v>
      </c>
      <c r="M7" s="695">
        <v>28.921302324999999</v>
      </c>
      <c r="N7" s="695">
        <v>44.910302325000004</v>
      </c>
      <c r="O7" s="696">
        <v>60.96</v>
      </c>
      <c r="P7" s="694">
        <v>16.725999999999999</v>
      </c>
      <c r="Q7" s="695">
        <v>39.816000000000003</v>
      </c>
      <c r="R7" s="695">
        <v>58.969000000000008</v>
      </c>
      <c r="S7" s="696">
        <v>77.852000000000004</v>
      </c>
      <c r="T7" s="694">
        <v>26.581</v>
      </c>
      <c r="U7" s="695">
        <v>50.988</v>
      </c>
      <c r="V7" s="695">
        <v>76.938999999999993</v>
      </c>
      <c r="W7" s="696">
        <v>108.16499999999999</v>
      </c>
      <c r="X7" s="694">
        <v>30.209999999999997</v>
      </c>
      <c r="Y7" s="695">
        <v>66.531000000000006</v>
      </c>
      <c r="Z7" s="695">
        <v>103.54300000000001</v>
      </c>
      <c r="AA7" s="696">
        <v>140.44900000000001</v>
      </c>
      <c r="AB7" s="694">
        <v>40.201999999999998</v>
      </c>
      <c r="AC7" s="695">
        <v>87.715000000000003</v>
      </c>
      <c r="AD7" s="695">
        <v>134.315</v>
      </c>
      <c r="AE7" s="696">
        <v>191.12620263700001</v>
      </c>
    </row>
    <row r="8" spans="1:31" x14ac:dyDescent="0.4">
      <c r="A8" s="156">
        <v>6</v>
      </c>
      <c r="B8" s="199" t="s">
        <v>80</v>
      </c>
      <c r="C8" s="200" t="s">
        <v>80</v>
      </c>
      <c r="D8" s="697">
        <v>0.64496439471007116</v>
      </c>
      <c r="E8" s="698">
        <v>0.69610145608266794</v>
      </c>
      <c r="F8" s="698">
        <v>0.71003039513677813</v>
      </c>
      <c r="G8" s="699">
        <v>0.73181416115580655</v>
      </c>
      <c r="H8" s="697">
        <v>0.75804359908602492</v>
      </c>
      <c r="I8" s="698">
        <v>0.75621126238279379</v>
      </c>
      <c r="J8" s="698">
        <v>0.77533878241605392</v>
      </c>
      <c r="K8" s="699">
        <v>0.78765730344003049</v>
      </c>
      <c r="L8" s="697">
        <v>0.81753698259368146</v>
      </c>
      <c r="M8" s="698">
        <v>0.80294285365520868</v>
      </c>
      <c r="N8" s="698">
        <v>0.80798441960347234</v>
      </c>
      <c r="O8" s="699">
        <v>0.79726919606073687</v>
      </c>
      <c r="P8" s="697">
        <v>0.78452157598499062</v>
      </c>
      <c r="Q8" s="698">
        <v>0.7836252706160205</v>
      </c>
      <c r="R8" s="698">
        <v>0.78337052978372923</v>
      </c>
      <c r="S8" s="699">
        <v>0.77390751123305102</v>
      </c>
      <c r="T8" s="697">
        <v>0.7512789350216218</v>
      </c>
      <c r="U8" s="698">
        <v>0.74910747079997064</v>
      </c>
      <c r="V8" s="698">
        <v>0.75926894496363473</v>
      </c>
      <c r="W8" s="699">
        <v>0.76279971791255274</v>
      </c>
      <c r="X8" s="697">
        <v>0.77513213937496794</v>
      </c>
      <c r="Y8" s="698">
        <v>0.78389810538222271</v>
      </c>
      <c r="Z8" s="698">
        <v>0.7778286933397438</v>
      </c>
      <c r="AA8" s="699">
        <v>0.77973940029868494</v>
      </c>
      <c r="AB8" s="697">
        <v>0.7979912265031065</v>
      </c>
      <c r="AC8" s="698">
        <v>0.80383980938416422</v>
      </c>
      <c r="AD8" s="698">
        <v>0.79696085062954658</v>
      </c>
      <c r="AE8" s="699">
        <v>0.78672885513343016</v>
      </c>
    </row>
    <row r="9" spans="1:31" x14ac:dyDescent="0.4">
      <c r="A9" s="156">
        <v>7</v>
      </c>
      <c r="B9" s="69" t="s">
        <v>192</v>
      </c>
      <c r="C9" s="70" t="s">
        <v>4</v>
      </c>
      <c r="D9" s="700">
        <v>-3.76</v>
      </c>
      <c r="E9" s="701">
        <v>-8</v>
      </c>
      <c r="F9" s="701">
        <v>-12.42</v>
      </c>
      <c r="G9" s="702">
        <v>-17.271000000000001</v>
      </c>
      <c r="H9" s="700">
        <v>-4.83</v>
      </c>
      <c r="I9" s="701">
        <v>-11.536999999999999</v>
      </c>
      <c r="J9" s="701">
        <v>-16.82286212</v>
      </c>
      <c r="K9" s="702">
        <v>-22.195</v>
      </c>
      <c r="L9" s="700">
        <v>-4.085</v>
      </c>
      <c r="M9" s="701">
        <v>-9.1200405629999999</v>
      </c>
      <c r="N9" s="701">
        <v>-13.244040562999999</v>
      </c>
      <c r="O9" s="702">
        <v>-20.350000000000001</v>
      </c>
      <c r="P9" s="700">
        <v>-5.8310000000000004</v>
      </c>
      <c r="Q9" s="701">
        <v>-12.831</v>
      </c>
      <c r="R9" s="701">
        <v>-18.655000000000001</v>
      </c>
      <c r="S9" s="702">
        <v>-26.138999999999999</v>
      </c>
      <c r="T9" s="700">
        <v>-9.8759999999999994</v>
      </c>
      <c r="U9" s="701">
        <v>-19.02</v>
      </c>
      <c r="V9" s="701">
        <v>-27.491</v>
      </c>
      <c r="W9" s="702">
        <v>-39.287999999999997</v>
      </c>
      <c r="X9" s="700">
        <v>-10.319000000000001</v>
      </c>
      <c r="Y9" s="701">
        <v>-23.493000000000002</v>
      </c>
      <c r="Z9" s="701">
        <v>-35.841000000000001</v>
      </c>
      <c r="AA9" s="702">
        <v>-50.826000000000001</v>
      </c>
      <c r="AB9" s="700">
        <v>-13.694000000000001</v>
      </c>
      <c r="AC9" s="701">
        <v>-30.020000000000003</v>
      </c>
      <c r="AD9" s="701">
        <v>-47.668000000000006</v>
      </c>
      <c r="AE9" s="702">
        <v>-68.684887671000013</v>
      </c>
    </row>
    <row r="10" spans="1:31" x14ac:dyDescent="0.4">
      <c r="A10" s="156">
        <v>8</v>
      </c>
      <c r="B10" s="59" t="s">
        <v>80</v>
      </c>
      <c r="C10" s="60" t="s">
        <v>125</v>
      </c>
      <c r="D10" s="691">
        <v>-0.38250254323499489</v>
      </c>
      <c r="E10" s="692">
        <v>-0.37576326914044156</v>
      </c>
      <c r="F10" s="692">
        <v>-0.37750759878419454</v>
      </c>
      <c r="G10" s="693">
        <v>-0.36373783749631444</v>
      </c>
      <c r="H10" s="691">
        <v>-0.29827703328598776</v>
      </c>
      <c r="I10" s="692">
        <v>-0.3055835143296074</v>
      </c>
      <c r="J10" s="692">
        <v>-0.2860424259874555</v>
      </c>
      <c r="K10" s="693">
        <v>-0.27356316172211065</v>
      </c>
      <c r="L10" s="691">
        <v>-0.19062952074291847</v>
      </c>
      <c r="M10" s="692">
        <v>-0.25319991862110852</v>
      </c>
      <c r="N10" s="692">
        <v>-0.23827446874129674</v>
      </c>
      <c r="O10" s="693">
        <v>-0.26614875557473749</v>
      </c>
      <c r="P10" s="691">
        <v>-0.27349906191369605</v>
      </c>
      <c r="Q10" s="692">
        <v>-0.25252902971855934</v>
      </c>
      <c r="R10" s="692">
        <v>-0.2478213507625272</v>
      </c>
      <c r="S10" s="693">
        <v>-0.25984134558034117</v>
      </c>
      <c r="T10" s="691">
        <v>0.2791328679234617</v>
      </c>
      <c r="U10" s="692">
        <v>0.27943877176228604</v>
      </c>
      <c r="V10" s="692">
        <v>0.27129365557123541</v>
      </c>
      <c r="W10" s="693">
        <v>0.27706629055007048</v>
      </c>
      <c r="X10" s="691">
        <v>0.26476625442602764</v>
      </c>
      <c r="Y10" s="692">
        <v>0.27680507116599118</v>
      </c>
      <c r="Z10" s="692">
        <v>0.26924232635706669</v>
      </c>
      <c r="AA10" s="693">
        <v>0.28217384787062177</v>
      </c>
      <c r="AB10" s="691">
        <v>0.27181960737608929</v>
      </c>
      <c r="AC10" s="692">
        <v>0.27510997067448684</v>
      </c>
      <c r="AD10" s="692">
        <v>0.28283907104797851</v>
      </c>
      <c r="AE10" s="693">
        <v>0.28272618979933223</v>
      </c>
    </row>
    <row r="11" spans="1:31" x14ac:dyDescent="0.4">
      <c r="A11" s="156">
        <v>9</v>
      </c>
      <c r="B11" s="47" t="s">
        <v>193</v>
      </c>
      <c r="C11" s="48" t="s">
        <v>348</v>
      </c>
      <c r="D11" s="682">
        <v>2.58</v>
      </c>
      <c r="E11" s="683">
        <v>6.82</v>
      </c>
      <c r="F11" s="683">
        <v>10.94</v>
      </c>
      <c r="G11" s="684">
        <v>17.477</v>
      </c>
      <c r="H11" s="682">
        <v>7.4450000000000021</v>
      </c>
      <c r="I11" s="683">
        <v>17.012999999999998</v>
      </c>
      <c r="J11" s="683">
        <v>28.776728177999995</v>
      </c>
      <c r="K11" s="684">
        <v>41.709999999999994</v>
      </c>
      <c r="L11" s="682">
        <v>13.433999999999997</v>
      </c>
      <c r="M11" s="683">
        <v>19.801261761999999</v>
      </c>
      <c r="N11" s="683">
        <v>31.666261762000001</v>
      </c>
      <c r="O11" s="684">
        <v>40.61</v>
      </c>
      <c r="P11" s="682">
        <v>10.895</v>
      </c>
      <c r="Q11" s="683">
        <v>26.985000000000003</v>
      </c>
      <c r="R11" s="683">
        <v>40.314000000000007</v>
      </c>
      <c r="S11" s="684">
        <v>51.713000000000001</v>
      </c>
      <c r="T11" s="682">
        <v>16.704999999999998</v>
      </c>
      <c r="U11" s="683">
        <v>31.967999999999996</v>
      </c>
      <c r="V11" s="683">
        <v>49.447999999999993</v>
      </c>
      <c r="W11" s="684">
        <v>68.876999999999995</v>
      </c>
      <c r="X11" s="682">
        <v>19.890999999999998</v>
      </c>
      <c r="Y11" s="683">
        <v>43.038000000000004</v>
      </c>
      <c r="Z11" s="683">
        <v>67.701999999999998</v>
      </c>
      <c r="AA11" s="684">
        <v>89.623000000000005</v>
      </c>
      <c r="AB11" s="682">
        <v>26.507999999999996</v>
      </c>
      <c r="AC11" s="683">
        <v>57.694999999999993</v>
      </c>
      <c r="AD11" s="683">
        <v>86.646999999999991</v>
      </c>
      <c r="AE11" s="684">
        <v>122.44131496599999</v>
      </c>
    </row>
    <row r="12" spans="1:31" x14ac:dyDescent="0.4">
      <c r="A12" s="156">
        <v>10</v>
      </c>
      <c r="B12" s="199" t="s">
        <v>80</v>
      </c>
      <c r="C12" s="200" t="s">
        <v>80</v>
      </c>
      <c r="D12" s="697">
        <v>0.26246185147507628</v>
      </c>
      <c r="E12" s="698">
        <v>0.32033818694222643</v>
      </c>
      <c r="F12" s="698">
        <v>0.33252279635258358</v>
      </c>
      <c r="G12" s="699">
        <v>0.36807632365949206</v>
      </c>
      <c r="H12" s="697">
        <v>0.45976656580003716</v>
      </c>
      <c r="I12" s="698">
        <v>0.45062774805318628</v>
      </c>
      <c r="J12" s="698">
        <v>0.48929635642859848</v>
      </c>
      <c r="K12" s="699">
        <v>0.51409414171791989</v>
      </c>
      <c r="L12" s="697">
        <v>0.62690746185076296</v>
      </c>
      <c r="M12" s="698">
        <v>0.54974293503410021</v>
      </c>
      <c r="N12" s="698">
        <v>0.56970995086217557</v>
      </c>
      <c r="O12" s="699">
        <v>0.53112044048599938</v>
      </c>
      <c r="P12" s="697">
        <v>0.51102251407129451</v>
      </c>
      <c r="Q12" s="698">
        <v>0.53109624089746121</v>
      </c>
      <c r="R12" s="698">
        <v>0.53554917902120203</v>
      </c>
      <c r="S12" s="699">
        <v>0.51406616565270979</v>
      </c>
      <c r="T12" s="697">
        <v>0.47214606709815998</v>
      </c>
      <c r="U12" s="698">
        <v>0.46966869903768454</v>
      </c>
      <c r="V12" s="698">
        <v>0.48797528939239926</v>
      </c>
      <c r="W12" s="699">
        <v>0.48573342736248232</v>
      </c>
      <c r="X12" s="697">
        <v>0.51036588494894031</v>
      </c>
      <c r="Y12" s="698">
        <v>0.50709303421623153</v>
      </c>
      <c r="Z12" s="698">
        <v>0.50858636698267701</v>
      </c>
      <c r="AA12" s="699">
        <v>0.49756555242806311</v>
      </c>
      <c r="AB12" s="697">
        <v>0.52617161912701715</v>
      </c>
      <c r="AC12" s="698">
        <v>0.52872983870967738</v>
      </c>
      <c r="AD12" s="698">
        <v>0.51412177958156813</v>
      </c>
      <c r="AE12" s="699">
        <v>0.50400266533409799</v>
      </c>
    </row>
    <row r="13" spans="1:31" x14ac:dyDescent="0.4">
      <c r="A13" s="156">
        <v>11</v>
      </c>
      <c r="B13" s="493" t="s">
        <v>246</v>
      </c>
      <c r="C13" s="494" t="s">
        <v>349</v>
      </c>
      <c r="D13" s="495" t="s">
        <v>3</v>
      </c>
      <c r="E13" s="496" t="s">
        <v>3</v>
      </c>
      <c r="F13" s="496" t="s">
        <v>3</v>
      </c>
      <c r="G13" s="703" t="s">
        <v>3</v>
      </c>
      <c r="H13" s="495" t="s">
        <v>3</v>
      </c>
      <c r="I13" s="496" t="s">
        <v>3</v>
      </c>
      <c r="J13" s="496" t="s">
        <v>3</v>
      </c>
      <c r="K13" s="703" t="s">
        <v>3</v>
      </c>
      <c r="L13" s="495" t="s">
        <v>3</v>
      </c>
      <c r="M13" s="496" t="s">
        <v>3</v>
      </c>
      <c r="N13" s="496" t="s">
        <v>3</v>
      </c>
      <c r="O13" s="703" t="s">
        <v>3</v>
      </c>
      <c r="P13" s="495" t="s">
        <v>3</v>
      </c>
      <c r="Q13" s="496" t="s">
        <v>3</v>
      </c>
      <c r="R13" s="496" t="s">
        <v>3</v>
      </c>
      <c r="S13" s="703" t="s">
        <v>3</v>
      </c>
      <c r="T13" s="495" t="s">
        <v>3</v>
      </c>
      <c r="U13" s="496" t="s">
        <v>3</v>
      </c>
      <c r="V13" s="496" t="s">
        <v>3</v>
      </c>
      <c r="W13" s="703" t="s">
        <v>3</v>
      </c>
      <c r="X13" s="495" t="s">
        <v>3</v>
      </c>
      <c r="Y13" s="496" t="s">
        <v>3</v>
      </c>
      <c r="Z13" s="496" t="s">
        <v>3</v>
      </c>
      <c r="AA13" s="703" t="s">
        <v>3</v>
      </c>
      <c r="AB13" s="495">
        <v>0</v>
      </c>
      <c r="AC13" s="496">
        <v>0.26700000000000002</v>
      </c>
      <c r="AD13" s="496">
        <v>-0.555655546</v>
      </c>
      <c r="AE13" s="703">
        <v>-1.06655689</v>
      </c>
    </row>
    <row r="14" spans="1:31" x14ac:dyDescent="0.4">
      <c r="A14" s="156">
        <v>12</v>
      </c>
      <c r="B14" s="493" t="s">
        <v>194</v>
      </c>
      <c r="C14" s="494" t="s">
        <v>59</v>
      </c>
      <c r="D14" s="495">
        <v>6.3148701000000002E-2</v>
      </c>
      <c r="E14" s="496">
        <v>0.27885600099999996</v>
      </c>
      <c r="F14" s="496">
        <v>0.31742612999999997</v>
      </c>
      <c r="G14" s="703">
        <v>0.40935940699999995</v>
      </c>
      <c r="H14" s="495">
        <v>0.14593989700000001</v>
      </c>
      <c r="I14" s="496">
        <v>0.28530597600000002</v>
      </c>
      <c r="J14" s="496">
        <v>0.54423898699999995</v>
      </c>
      <c r="K14" s="703">
        <v>0.52115354799999991</v>
      </c>
      <c r="L14" s="495">
        <v>1.0262209550000001</v>
      </c>
      <c r="M14" s="496">
        <v>1.2319121200000001</v>
      </c>
      <c r="N14" s="496">
        <v>1.2894481370000002</v>
      </c>
      <c r="O14" s="703">
        <v>1.2965769820000002</v>
      </c>
      <c r="P14" s="495">
        <v>1.47</v>
      </c>
      <c r="Q14" s="496">
        <v>1.57</v>
      </c>
      <c r="R14" s="496">
        <v>4.1794346549999997</v>
      </c>
      <c r="S14" s="703">
        <v>4.20794318</v>
      </c>
      <c r="T14" s="495">
        <v>0.70399999999999996</v>
      </c>
      <c r="U14" s="496">
        <v>3.6779999999999999</v>
      </c>
      <c r="V14" s="496">
        <v>9.11</v>
      </c>
      <c r="W14" s="703">
        <v>2.5839999999999996</v>
      </c>
      <c r="X14" s="495">
        <v>4.3940000000000001</v>
      </c>
      <c r="Y14" s="496">
        <v>6.4210000000000003</v>
      </c>
      <c r="Z14" s="496">
        <v>10.509</v>
      </c>
      <c r="AA14" s="703">
        <v>8.6590000000000007</v>
      </c>
      <c r="AB14" s="495">
        <v>6.48</v>
      </c>
      <c r="AC14" s="496">
        <v>11.334</v>
      </c>
      <c r="AD14" s="496">
        <v>8.2739999999999991</v>
      </c>
      <c r="AE14" s="703">
        <v>24.207351461000002</v>
      </c>
    </row>
    <row r="15" spans="1:31" x14ac:dyDescent="0.4">
      <c r="A15" s="156">
        <v>13</v>
      </c>
      <c r="B15" s="493" t="s">
        <v>196</v>
      </c>
      <c r="C15" s="494" t="s">
        <v>60</v>
      </c>
      <c r="D15" s="495">
        <v>-0.18034135900000001</v>
      </c>
      <c r="E15" s="496">
        <v>-0.34868307900000001</v>
      </c>
      <c r="F15" s="496">
        <v>-0.50062972500000003</v>
      </c>
      <c r="G15" s="703">
        <v>-0.56278001700000002</v>
      </c>
      <c r="H15" s="495">
        <v>-7.8080283E-2</v>
      </c>
      <c r="I15" s="496">
        <v>-0.270748606</v>
      </c>
      <c r="J15" s="496">
        <v>-0.22755678900000001</v>
      </c>
      <c r="K15" s="703">
        <v>-0.73637286099999999</v>
      </c>
      <c r="L15" s="495">
        <v>0.22780895000000001</v>
      </c>
      <c r="M15" s="496">
        <v>-0.14541040699999996</v>
      </c>
      <c r="N15" s="496">
        <v>-0.63310813599999993</v>
      </c>
      <c r="O15" s="703">
        <v>-2.678342561</v>
      </c>
      <c r="P15" s="495">
        <v>0.18</v>
      </c>
      <c r="Q15" s="496">
        <v>-5.0000000000000017E-2</v>
      </c>
      <c r="R15" s="496">
        <v>-0.14164076400000003</v>
      </c>
      <c r="S15" s="703">
        <v>-0.36970180500000005</v>
      </c>
      <c r="T15" s="495">
        <v>-0.79200000000000004</v>
      </c>
      <c r="U15" s="496">
        <v>-1.5230000000000001</v>
      </c>
      <c r="V15" s="496">
        <v>-2.2930000000000001</v>
      </c>
      <c r="W15" s="703">
        <v>-4.673</v>
      </c>
      <c r="X15" s="495">
        <v>-1.145</v>
      </c>
      <c r="Y15" s="496">
        <v>-1.6339999999999999</v>
      </c>
      <c r="Z15" s="496">
        <v>-2.198</v>
      </c>
      <c r="AA15" s="703">
        <v>-3.593</v>
      </c>
      <c r="AB15" s="495">
        <v>-0.55600000000000005</v>
      </c>
      <c r="AC15" s="496">
        <v>-1.0920000000000001</v>
      </c>
      <c r="AD15" s="496">
        <v>-3.7666856170000003</v>
      </c>
      <c r="AE15" s="703">
        <v>-4.6833013350000003</v>
      </c>
    </row>
    <row r="16" spans="1:31" x14ac:dyDescent="0.4">
      <c r="A16" s="156">
        <v>14</v>
      </c>
      <c r="B16" s="493" t="s">
        <v>198</v>
      </c>
      <c r="C16" s="494" t="s">
        <v>61</v>
      </c>
      <c r="D16" s="495">
        <v>5.1376668E-2</v>
      </c>
      <c r="E16" s="496">
        <v>0.28195067600000001</v>
      </c>
      <c r="F16" s="496">
        <v>0.31045902000000003</v>
      </c>
      <c r="G16" s="703">
        <v>0.510017681</v>
      </c>
      <c r="H16" s="495">
        <v>5.9530184999999999E-2</v>
      </c>
      <c r="I16" s="496">
        <v>0.121057443</v>
      </c>
      <c r="J16" s="496">
        <v>0.22221174500000002</v>
      </c>
      <c r="K16" s="703">
        <v>0.25772879700000001</v>
      </c>
      <c r="L16" s="495">
        <v>1.8995695999999999E-2</v>
      </c>
      <c r="M16" s="496">
        <v>2.1053566999999999E-2</v>
      </c>
      <c r="N16" s="496">
        <v>4.7030374999999999E-2</v>
      </c>
      <c r="O16" s="703">
        <v>7.5312800999999999E-2</v>
      </c>
      <c r="P16" s="495">
        <v>0.01</v>
      </c>
      <c r="Q16" s="496">
        <v>0.05</v>
      </c>
      <c r="R16" s="496">
        <v>0.106398878</v>
      </c>
      <c r="S16" s="703">
        <v>0.21254851499999999</v>
      </c>
      <c r="T16" s="704">
        <v>2E-3</v>
      </c>
      <c r="U16" s="705">
        <v>2.8999999999999998E-2</v>
      </c>
      <c r="V16" s="705">
        <v>3.3999999999999996E-2</v>
      </c>
      <c r="W16" s="703">
        <v>30.372</v>
      </c>
      <c r="X16" s="704">
        <v>1E-3</v>
      </c>
      <c r="Y16" s="705">
        <v>1.6E-2</v>
      </c>
      <c r="Z16" s="705">
        <v>3.1E-2</v>
      </c>
      <c r="AA16" s="706">
        <v>4.8429602000000002E-2</v>
      </c>
      <c r="AB16" s="704">
        <v>4.0000000000000002E-4</v>
      </c>
      <c r="AC16" s="705">
        <v>1.04E-2</v>
      </c>
      <c r="AD16" s="705">
        <v>1.1775159E-2</v>
      </c>
      <c r="AE16" s="706">
        <v>2.8579911999999999E-2</v>
      </c>
    </row>
    <row r="17" spans="1:31" x14ac:dyDescent="0.4">
      <c r="A17" s="156">
        <v>15</v>
      </c>
      <c r="B17" s="493" t="s">
        <v>200</v>
      </c>
      <c r="C17" s="494" t="s">
        <v>62</v>
      </c>
      <c r="D17" s="495">
        <v>-2.210105E-3</v>
      </c>
      <c r="E17" s="496">
        <v>-2.4269582000000001E-2</v>
      </c>
      <c r="F17" s="496">
        <v>-2.5717655000000002E-2</v>
      </c>
      <c r="G17" s="703">
        <v>-4.6847659E-2</v>
      </c>
      <c r="H17" s="495">
        <v>-1.452675E-2</v>
      </c>
      <c r="I17" s="496">
        <v>-1.7432842E-2</v>
      </c>
      <c r="J17" s="496">
        <v>-1.7582842000000001E-2</v>
      </c>
      <c r="K17" s="703">
        <v>-1.7484522000000002E-2</v>
      </c>
      <c r="L17" s="495">
        <v>-6.4108600000000002E-4</v>
      </c>
      <c r="M17" s="496">
        <v>-8.0306330000000006E-3</v>
      </c>
      <c r="N17" s="496">
        <v>-8.0306460000000007E-3</v>
      </c>
      <c r="O17" s="703">
        <v>-8.7485290000000014E-3</v>
      </c>
      <c r="P17" s="495">
        <v>-1.24E-5</v>
      </c>
      <c r="Q17" s="496">
        <v>-1.0012399999999999E-2</v>
      </c>
      <c r="R17" s="496">
        <v>-3.5896082000000003E-2</v>
      </c>
      <c r="S17" s="703">
        <v>-0.151164467</v>
      </c>
      <c r="T17" s="495">
        <v>-1.9999999999999999E-6</v>
      </c>
      <c r="U17" s="496">
        <v>-2.02E-4</v>
      </c>
      <c r="V17" s="496">
        <v>-2.6200000000000003E-4</v>
      </c>
      <c r="W17" s="703">
        <v>-0.40026200000000001</v>
      </c>
      <c r="X17" s="495">
        <v>-1.0999999999999999E-2</v>
      </c>
      <c r="Y17" s="496">
        <v>-6.2E-2</v>
      </c>
      <c r="Z17" s="496">
        <v>-0.496</v>
      </c>
      <c r="AA17" s="703">
        <v>-0.89400000000000002</v>
      </c>
      <c r="AB17" s="495">
        <v>-0.34599999999999997</v>
      </c>
      <c r="AC17" s="496">
        <v>-1.5870000000000002</v>
      </c>
      <c r="AD17" s="496">
        <v>-1.5849302920000001</v>
      </c>
      <c r="AE17" s="703">
        <v>-13.002104703000001</v>
      </c>
    </row>
    <row r="18" spans="1:31" x14ac:dyDescent="0.4">
      <c r="A18" s="156">
        <v>16</v>
      </c>
      <c r="B18" s="520" t="s">
        <v>366</v>
      </c>
      <c r="C18" s="497" t="s">
        <v>350</v>
      </c>
      <c r="D18" s="707">
        <v>2.5119739050000001</v>
      </c>
      <c r="E18" s="708">
        <v>7.0078540159999996</v>
      </c>
      <c r="F18" s="708">
        <v>11.041537769999998</v>
      </c>
      <c r="G18" s="709">
        <v>17.786749411999999</v>
      </c>
      <c r="H18" s="707">
        <v>7.5578630490000016</v>
      </c>
      <c r="I18" s="708">
        <v>17.131181971</v>
      </c>
      <c r="J18" s="708">
        <v>29.298039278999997</v>
      </c>
      <c r="K18" s="709">
        <v>41.735024961999997</v>
      </c>
      <c r="L18" s="707">
        <v>14.706384514999996</v>
      </c>
      <c r="M18" s="708">
        <v>20.900786408999998</v>
      </c>
      <c r="N18" s="708">
        <v>32.361601491999998</v>
      </c>
      <c r="O18" s="709">
        <v>39.29479869299999</v>
      </c>
      <c r="P18" s="707">
        <v>12.5549876</v>
      </c>
      <c r="Q18" s="708">
        <v>28.544987600000006</v>
      </c>
      <c r="R18" s="708">
        <v>44.422296687000006</v>
      </c>
      <c r="S18" s="709">
        <v>55.612625422999997</v>
      </c>
      <c r="T18" s="707">
        <v>16.618997999999998</v>
      </c>
      <c r="U18" s="708">
        <v>34.151797999999992</v>
      </c>
      <c r="V18" s="708">
        <v>56.298737999999986</v>
      </c>
      <c r="W18" s="709">
        <v>96.759737999999999</v>
      </c>
      <c r="X18" s="707">
        <v>23.13</v>
      </c>
      <c r="Y18" s="708">
        <v>47.779000000000011</v>
      </c>
      <c r="Z18" s="708">
        <v>75.548000000000016</v>
      </c>
      <c r="AA18" s="709">
        <v>93.843429602000015</v>
      </c>
      <c r="AB18" s="707">
        <v>32.086400000000005</v>
      </c>
      <c r="AC18" s="708">
        <v>66.627399999999994</v>
      </c>
      <c r="AD18" s="708">
        <v>89.025503703999988</v>
      </c>
      <c r="AE18" s="709">
        <v>127.925283411</v>
      </c>
    </row>
    <row r="19" spans="1:31" x14ac:dyDescent="0.4">
      <c r="A19" s="156">
        <v>17</v>
      </c>
      <c r="B19" s="493" t="s">
        <v>202</v>
      </c>
      <c r="C19" s="710" t="s">
        <v>266</v>
      </c>
      <c r="D19" s="495">
        <v>-0.5736539930000002</v>
      </c>
      <c r="E19" s="496">
        <v>-1.2230247319999998</v>
      </c>
      <c r="F19" s="496">
        <v>-2.4271944059999999</v>
      </c>
      <c r="G19" s="703">
        <v>-2.9232398409999991</v>
      </c>
      <c r="H19" s="495">
        <v>-1.6318683700000003</v>
      </c>
      <c r="I19" s="496">
        <v>-3.5783642600000007</v>
      </c>
      <c r="J19" s="496">
        <v>-6.2422215680000015</v>
      </c>
      <c r="K19" s="703">
        <v>-8.3415003710000004</v>
      </c>
      <c r="L19" s="495">
        <v>-3.3021634419999994</v>
      </c>
      <c r="M19" s="496">
        <v>-4.7765653360000009</v>
      </c>
      <c r="N19" s="496">
        <v>-7.4107320150000007</v>
      </c>
      <c r="O19" s="703">
        <v>-1.1293677039999981</v>
      </c>
      <c r="P19" s="495">
        <v>-2.9980000000000011</v>
      </c>
      <c r="Q19" s="496">
        <v>-6.929000000000002</v>
      </c>
      <c r="R19" s="496">
        <v>-10.282086974000002</v>
      </c>
      <c r="S19" s="703">
        <v>-11.827451194000004</v>
      </c>
      <c r="T19" s="495">
        <v>-3.8019999999999978</v>
      </c>
      <c r="U19" s="496">
        <v>-7.5269999999999975</v>
      </c>
      <c r="V19" s="496">
        <v>-10.956999999999997</v>
      </c>
      <c r="W19" s="703">
        <v>-21.380999999999997</v>
      </c>
      <c r="X19" s="495">
        <v>-4.3550000000000004</v>
      </c>
      <c r="Y19" s="496">
        <v>-10.443999999999999</v>
      </c>
      <c r="Z19" s="496">
        <v>-17.018999999999998</v>
      </c>
      <c r="AA19" s="703">
        <v>-19.616000000000003</v>
      </c>
      <c r="AB19" s="495">
        <v>-6.0024000000000051</v>
      </c>
      <c r="AC19" s="496">
        <v>-13.9634</v>
      </c>
      <c r="AD19" s="496">
        <v>-19.871983784000001</v>
      </c>
      <c r="AE19" s="703">
        <v>-30.387291503000007</v>
      </c>
    </row>
    <row r="20" spans="1:31" x14ac:dyDescent="0.4">
      <c r="A20" s="156">
        <v>18</v>
      </c>
      <c r="B20" s="61" t="s">
        <v>408</v>
      </c>
      <c r="C20" s="62" t="s">
        <v>411</v>
      </c>
      <c r="D20" s="694">
        <v>1.9383199119999999</v>
      </c>
      <c r="E20" s="695">
        <v>5.7848292840000006</v>
      </c>
      <c r="F20" s="695">
        <v>8.6143433639999998</v>
      </c>
      <c r="G20" s="696">
        <v>14.863509571000002</v>
      </c>
      <c r="H20" s="694">
        <v>5.9259946790000013</v>
      </c>
      <c r="I20" s="695">
        <v>13.552817710999999</v>
      </c>
      <c r="J20" s="695">
        <v>23.055817710999996</v>
      </c>
      <c r="K20" s="696">
        <v>33.393524590999995</v>
      </c>
      <c r="L20" s="694">
        <v>11.404221072999997</v>
      </c>
      <c r="M20" s="695">
        <v>16.124221072999998</v>
      </c>
      <c r="N20" s="695">
        <v>24.950869476999998</v>
      </c>
      <c r="O20" s="696">
        <v>38.165430988999994</v>
      </c>
      <c r="P20" s="694">
        <v>9.5569875999999994</v>
      </c>
      <c r="Q20" s="695">
        <v>21.615987600000004</v>
      </c>
      <c r="R20" s="695">
        <v>34.140209713000004</v>
      </c>
      <c r="S20" s="696">
        <v>43.785174228999992</v>
      </c>
      <c r="T20" s="694">
        <v>12.816998</v>
      </c>
      <c r="U20" s="695">
        <v>26.624797999999995</v>
      </c>
      <c r="V20" s="695">
        <v>45.341737999999992</v>
      </c>
      <c r="W20" s="696">
        <v>75.378737999999998</v>
      </c>
      <c r="X20" s="694">
        <v>18.774999999999999</v>
      </c>
      <c r="Y20" s="695">
        <v>37.335000000000008</v>
      </c>
      <c r="Z20" s="695">
        <v>58.529000000000011</v>
      </c>
      <c r="AA20" s="696">
        <v>74.227429602000015</v>
      </c>
      <c r="AB20" s="694">
        <v>26.084</v>
      </c>
      <c r="AC20" s="695">
        <v>52.664000000000001</v>
      </c>
      <c r="AD20" s="695">
        <v>69.153519920000008</v>
      </c>
      <c r="AE20" s="696">
        <v>97.960403792999998</v>
      </c>
    </row>
    <row r="21" spans="1:31" x14ac:dyDescent="0.4">
      <c r="A21" s="156">
        <v>19</v>
      </c>
      <c r="B21" s="199" t="s">
        <v>80</v>
      </c>
      <c r="C21" s="200" t="s">
        <v>80</v>
      </c>
      <c r="D21" s="697">
        <v>0.19718412126144455</v>
      </c>
      <c r="E21" s="698">
        <v>0.2717157953969</v>
      </c>
      <c r="F21" s="698">
        <v>0.26183414480243161</v>
      </c>
      <c r="G21" s="699">
        <v>0.31303461461185295</v>
      </c>
      <c r="H21" s="697">
        <v>0.36596027166059414</v>
      </c>
      <c r="I21" s="698">
        <v>0.35897700140382471</v>
      </c>
      <c r="J21" s="698">
        <v>0.39202259307222936</v>
      </c>
      <c r="K21" s="699">
        <v>0.41158991521329169</v>
      </c>
      <c r="L21" s="697">
        <v>0.53218633967987294</v>
      </c>
      <c r="M21" s="698">
        <v>0.44765716065734151</v>
      </c>
      <c r="N21" s="698">
        <v>0.44889285418489633</v>
      </c>
      <c r="O21" s="699">
        <v>0.49914899084500586</v>
      </c>
      <c r="P21" s="697">
        <v>0.4482639587242026</v>
      </c>
      <c r="Q21" s="698">
        <v>0.42542782129502071</v>
      </c>
      <c r="R21" s="698">
        <v>0.45353379181943781</v>
      </c>
      <c r="S21" s="699">
        <v>0.4352576069525626</v>
      </c>
      <c r="T21" s="697">
        <v>0.36225652186201635</v>
      </c>
      <c r="U21" s="698">
        <v>0.39116723719973551</v>
      </c>
      <c r="V21" s="698">
        <v>0.44745283372642664</v>
      </c>
      <c r="W21" s="699">
        <v>0.53158489421720723</v>
      </c>
      <c r="X21" s="697">
        <v>0.48173141068404579</v>
      </c>
      <c r="Y21" s="698">
        <v>0.4398977283438591</v>
      </c>
      <c r="Z21" s="698">
        <v>0.43967757929055434</v>
      </c>
      <c r="AA21" s="699">
        <v>0.41209301200846099</v>
      </c>
      <c r="AB21" s="697">
        <v>0.51775541396216684</v>
      </c>
      <c r="AC21" s="698">
        <v>0.48262463343108503</v>
      </c>
      <c r="AD21" s="698">
        <v>0.41032385109236125</v>
      </c>
      <c r="AE21" s="699">
        <v>0.40149362906318403</v>
      </c>
    </row>
    <row r="22" spans="1:31" x14ac:dyDescent="0.4">
      <c r="A22" s="156">
        <v>20</v>
      </c>
      <c r="B22" s="72" t="s">
        <v>51</v>
      </c>
      <c r="C22" s="73" t="s">
        <v>5</v>
      </c>
      <c r="D22" s="711">
        <v>0.17799999999999999</v>
      </c>
      <c r="E22" s="712">
        <v>0.28199999999999997</v>
      </c>
      <c r="F22" s="712">
        <v>0.47299999999999998</v>
      </c>
      <c r="G22" s="713">
        <v>0.7589999999999999</v>
      </c>
      <c r="H22" s="711">
        <v>0.248</v>
      </c>
      <c r="I22" s="712">
        <v>0.52100000000000002</v>
      </c>
      <c r="J22" s="712">
        <v>0.83200000000000007</v>
      </c>
      <c r="K22" s="713">
        <v>1.2170000000000001</v>
      </c>
      <c r="L22" s="711">
        <v>0.442</v>
      </c>
      <c r="M22" s="712">
        <v>0.95199999999999996</v>
      </c>
      <c r="N22" s="712">
        <v>1.367</v>
      </c>
      <c r="O22" s="713">
        <v>2.0830000000000002</v>
      </c>
      <c r="P22" s="711">
        <v>0.58561300000000005</v>
      </c>
      <c r="Q22" s="712">
        <v>1.1504160000000001</v>
      </c>
      <c r="R22" s="712">
        <v>1.7829699999999997</v>
      </c>
      <c r="S22" s="713">
        <v>2.5229999999999997</v>
      </c>
      <c r="T22" s="711">
        <v>0.94599999999999995</v>
      </c>
      <c r="U22" s="712">
        <v>1.92</v>
      </c>
      <c r="V22" s="712">
        <v>2.923</v>
      </c>
      <c r="W22" s="713">
        <v>3.899</v>
      </c>
      <c r="X22" s="711">
        <v>0.984205</v>
      </c>
      <c r="Y22" s="712">
        <v>2.0172049999999997</v>
      </c>
      <c r="Z22" s="712">
        <v>3.1202049999999995</v>
      </c>
      <c r="AA22" s="713">
        <v>4.2782049999999998</v>
      </c>
      <c r="AB22" s="711">
        <v>1.159778</v>
      </c>
      <c r="AC22" s="712">
        <v>2.3363449999999997</v>
      </c>
      <c r="AD22" s="712">
        <v>3.5403449999999994</v>
      </c>
      <c r="AE22" s="713">
        <v>7.2174803819999998</v>
      </c>
    </row>
    <row r="23" spans="1:31" x14ac:dyDescent="0.4">
      <c r="A23" s="156">
        <v>21</v>
      </c>
      <c r="B23" s="47" t="s">
        <v>6</v>
      </c>
      <c r="C23" s="48" t="s">
        <v>6</v>
      </c>
      <c r="D23" s="682">
        <v>2.758</v>
      </c>
      <c r="E23" s="683">
        <v>7.1020000000000003</v>
      </c>
      <c r="F23" s="683">
        <v>11.423</v>
      </c>
      <c r="G23" s="684">
        <v>18.234999999999999</v>
      </c>
      <c r="H23" s="682">
        <v>7.6930000000000023</v>
      </c>
      <c r="I23" s="683">
        <v>17.533999999999999</v>
      </c>
      <c r="J23" s="683">
        <v>29.616728177999999</v>
      </c>
      <c r="K23" s="684">
        <v>42.926000000000002</v>
      </c>
      <c r="L23" s="682">
        <v>13.875999999999998</v>
      </c>
      <c r="M23" s="683">
        <v>20.753261761999998</v>
      </c>
      <c r="N23" s="683">
        <v>33.033261761999995</v>
      </c>
      <c r="O23" s="684">
        <v>42.692999999999998</v>
      </c>
      <c r="P23" s="682">
        <v>11.480613</v>
      </c>
      <c r="Q23" s="683">
        <v>28.135416000000006</v>
      </c>
      <c r="R23" s="683">
        <v>42.096970000000006</v>
      </c>
      <c r="S23" s="684">
        <v>54.236000000000004</v>
      </c>
      <c r="T23" s="682">
        <v>17.651</v>
      </c>
      <c r="U23" s="683">
        <v>33.887999999999991</v>
      </c>
      <c r="V23" s="683">
        <v>52.370999999999995</v>
      </c>
      <c r="W23" s="684">
        <v>72.775999999999996</v>
      </c>
      <c r="X23" s="682">
        <v>20.875204999999998</v>
      </c>
      <c r="Y23" s="683">
        <v>45.055205000000001</v>
      </c>
      <c r="Z23" s="683">
        <v>70.822204999999997</v>
      </c>
      <c r="AA23" s="684">
        <v>93.901205000000004</v>
      </c>
      <c r="AB23" s="682">
        <v>27.667777999999995</v>
      </c>
      <c r="AC23" s="683">
        <v>60.031344999999988</v>
      </c>
      <c r="AD23" s="683">
        <v>90.187344999999993</v>
      </c>
      <c r="AE23" s="684">
        <v>129.65879534800001</v>
      </c>
    </row>
    <row r="24" spans="1:31" ht="18" thickBot="1" x14ac:dyDescent="0.45">
      <c r="A24" s="156">
        <v>22</v>
      </c>
      <c r="B24" s="203" t="s">
        <v>80</v>
      </c>
      <c r="C24" s="203" t="s">
        <v>125</v>
      </c>
      <c r="D24" s="714">
        <v>0.28056968463886062</v>
      </c>
      <c r="E24" s="715">
        <v>0.33358384217942699</v>
      </c>
      <c r="F24" s="715">
        <v>0.34720364741641341</v>
      </c>
      <c r="G24" s="716">
        <v>0.38404026789099027</v>
      </c>
      <c r="H24" s="714">
        <v>0.47508182548014583</v>
      </c>
      <c r="I24" s="715">
        <v>0.46442761031943625</v>
      </c>
      <c r="J24" s="715">
        <v>0.50357904127232733</v>
      </c>
      <c r="K24" s="716">
        <v>0.52908187790418204</v>
      </c>
      <c r="L24" s="714">
        <v>0.64753371599234677</v>
      </c>
      <c r="M24" s="715">
        <v>0.57617333530065373</v>
      </c>
      <c r="N24" s="715">
        <v>0.59430374436650246</v>
      </c>
      <c r="O24" s="716">
        <v>0.5583630870639934</v>
      </c>
      <c r="P24" s="714">
        <v>0.53849029080675426</v>
      </c>
      <c r="Q24" s="715">
        <v>0.55373776815587494</v>
      </c>
      <c r="R24" s="715">
        <v>0.55923494872203627</v>
      </c>
      <c r="S24" s="716">
        <v>0.53914668575291269</v>
      </c>
      <c r="T24" s="714">
        <v>0.49888358158333568</v>
      </c>
      <c r="U24" s="715">
        <v>0.49787702931021804</v>
      </c>
      <c r="V24" s="715">
        <v>0.51682077901572043</v>
      </c>
      <c r="W24" s="716">
        <v>0.5132299012693935</v>
      </c>
      <c r="X24" s="714">
        <v>0.53561874583055369</v>
      </c>
      <c r="Y24" s="715">
        <v>0.53086064897728347</v>
      </c>
      <c r="Z24" s="715">
        <v>0.53202575910094807</v>
      </c>
      <c r="AA24" s="716">
        <v>0.52131712774048855</v>
      </c>
      <c r="AB24" s="714">
        <v>0.5491926794894697</v>
      </c>
      <c r="AC24" s="715">
        <v>0.55014062499999983</v>
      </c>
      <c r="AD24" s="715">
        <v>0.53512849039362975</v>
      </c>
      <c r="AE24" s="716">
        <v>0.53371183131728495</v>
      </c>
    </row>
    <row r="25" spans="1:31" x14ac:dyDescent="0.4">
      <c r="A25" s="158"/>
      <c r="B25" s="75"/>
      <c r="C25" s="75"/>
      <c r="D25" s="717"/>
      <c r="E25" s="717"/>
      <c r="F25" s="717"/>
      <c r="G25" s="717"/>
      <c r="H25" s="717"/>
      <c r="I25" s="717"/>
      <c r="J25" s="717"/>
      <c r="K25" s="717"/>
      <c r="L25" s="717"/>
      <c r="M25" s="717"/>
      <c r="N25" s="717"/>
      <c r="O25" s="717"/>
      <c r="P25" s="717"/>
      <c r="Q25" s="717"/>
      <c r="R25" s="717"/>
      <c r="S25" s="717"/>
      <c r="T25" s="717"/>
      <c r="U25" s="717"/>
      <c r="V25" s="717"/>
      <c r="W25" s="717"/>
      <c r="X25" s="717"/>
      <c r="Y25" s="717"/>
      <c r="Z25" s="717"/>
      <c r="AA25" s="717"/>
      <c r="AB25" s="717"/>
      <c r="AC25" s="717"/>
      <c r="AD25" s="717"/>
      <c r="AE25" s="717"/>
    </row>
    <row r="26" spans="1:31" ht="18" thickBot="1" x14ac:dyDescent="0.45">
      <c r="B26" s="43" t="s">
        <v>128</v>
      </c>
      <c r="C26" s="44"/>
      <c r="D26" s="671"/>
      <c r="E26" s="671"/>
      <c r="F26" s="671"/>
      <c r="G26" s="671"/>
      <c r="H26" s="671"/>
      <c r="I26" s="671"/>
      <c r="J26" s="671"/>
      <c r="K26" s="671"/>
      <c r="L26" s="671"/>
      <c r="M26" s="671"/>
      <c r="N26" s="671"/>
      <c r="O26" s="671"/>
      <c r="P26" s="671"/>
      <c r="Q26" s="671"/>
      <c r="R26" s="671"/>
      <c r="S26" s="671"/>
      <c r="T26" s="671"/>
      <c r="U26" s="671"/>
      <c r="V26" s="671"/>
      <c r="W26" s="671"/>
      <c r="X26" s="671"/>
      <c r="Y26" s="671"/>
      <c r="Z26" s="671"/>
      <c r="AA26" s="671"/>
      <c r="AB26" s="671"/>
      <c r="AC26" s="671"/>
      <c r="AD26" s="671"/>
      <c r="AE26" s="671"/>
    </row>
    <row r="27" spans="1:31" s="681" customFormat="1" x14ac:dyDescent="0.4">
      <c r="A27" s="156">
        <v>1</v>
      </c>
      <c r="B27" s="24" t="s">
        <v>189</v>
      </c>
      <c r="C27" s="46"/>
      <c r="D27" s="718" t="s">
        <v>377</v>
      </c>
      <c r="E27" s="719" t="s">
        <v>378</v>
      </c>
      <c r="F27" s="719" t="s">
        <v>379</v>
      </c>
      <c r="G27" s="719" t="s">
        <v>380</v>
      </c>
      <c r="H27" s="718" t="s">
        <v>381</v>
      </c>
      <c r="I27" s="719" t="s">
        <v>382</v>
      </c>
      <c r="J27" s="719" t="s">
        <v>383</v>
      </c>
      <c r="K27" s="719" t="s">
        <v>384</v>
      </c>
      <c r="L27" s="718" t="s">
        <v>385</v>
      </c>
      <c r="M27" s="719" t="s">
        <v>386</v>
      </c>
      <c r="N27" s="719" t="s">
        <v>387</v>
      </c>
      <c r="O27" s="719" t="s">
        <v>388</v>
      </c>
      <c r="P27" s="718" t="s">
        <v>389</v>
      </c>
      <c r="Q27" s="719" t="s">
        <v>390</v>
      </c>
      <c r="R27" s="719" t="s">
        <v>391</v>
      </c>
      <c r="S27" s="719" t="s">
        <v>392</v>
      </c>
      <c r="T27" s="718" t="s">
        <v>369</v>
      </c>
      <c r="U27" s="719" t="s">
        <v>370</v>
      </c>
      <c r="V27" s="719" t="s">
        <v>371</v>
      </c>
      <c r="W27" s="719" t="s">
        <v>372</v>
      </c>
      <c r="X27" s="718" t="s">
        <v>373</v>
      </c>
      <c r="Y27" s="719" t="s">
        <v>374</v>
      </c>
      <c r="Z27" s="719" t="s">
        <v>375</v>
      </c>
      <c r="AA27" s="719" t="s">
        <v>376</v>
      </c>
      <c r="AB27" s="718" t="s">
        <v>271</v>
      </c>
      <c r="AC27" s="719" t="s">
        <v>251</v>
      </c>
      <c r="AD27" s="719" t="s">
        <v>252</v>
      </c>
      <c r="AE27" s="719" t="s">
        <v>253</v>
      </c>
    </row>
    <row r="28" spans="1:31" x14ac:dyDescent="0.4">
      <c r="A28" s="156">
        <v>2</v>
      </c>
      <c r="B28" s="76" t="s">
        <v>351</v>
      </c>
      <c r="C28" s="77" t="s">
        <v>352</v>
      </c>
      <c r="D28" s="720">
        <v>5.47</v>
      </c>
      <c r="E28" s="721">
        <v>11.75</v>
      </c>
      <c r="F28" s="721">
        <v>17.309999999999999</v>
      </c>
      <c r="G28" s="722">
        <v>25.065000000000001</v>
      </c>
      <c r="H28" s="720">
        <v>7.02</v>
      </c>
      <c r="I28" s="721">
        <v>17.41</v>
      </c>
      <c r="J28" s="721">
        <v>26.497603000000002</v>
      </c>
      <c r="K28" s="722">
        <v>36.781999999999996</v>
      </c>
      <c r="L28" s="720">
        <v>9.2010000000000005</v>
      </c>
      <c r="M28" s="721">
        <v>15.011626</v>
      </c>
      <c r="N28" s="721">
        <v>23.192618000000003</v>
      </c>
      <c r="O28" s="722">
        <v>32.936000000000007</v>
      </c>
      <c r="P28" s="720">
        <v>9.207414</v>
      </c>
      <c r="Q28" s="721">
        <v>25.995999999999999</v>
      </c>
      <c r="R28" s="721">
        <v>36.718381000000001</v>
      </c>
      <c r="S28" s="722">
        <v>46.889710000000001</v>
      </c>
      <c r="T28" s="720">
        <v>20.5</v>
      </c>
      <c r="U28" s="721">
        <v>37.6</v>
      </c>
      <c r="V28" s="721">
        <v>53.1</v>
      </c>
      <c r="W28" s="722">
        <v>74.141999999999996</v>
      </c>
      <c r="X28" s="720">
        <v>18.351500000000001</v>
      </c>
      <c r="Y28" s="721">
        <v>40.308500000000002</v>
      </c>
      <c r="Z28" s="721">
        <v>66.133499999999998</v>
      </c>
      <c r="AA28" s="722">
        <v>89.977499999999992</v>
      </c>
      <c r="AB28" s="720">
        <v>20.800999999999998</v>
      </c>
      <c r="AC28" s="721">
        <v>50.659419999999997</v>
      </c>
      <c r="AD28" s="721">
        <v>82.572419999999994</v>
      </c>
      <c r="AE28" s="722">
        <v>111.33040799999999</v>
      </c>
    </row>
    <row r="29" spans="1:31" x14ac:dyDescent="0.4">
      <c r="A29" s="156">
        <v>3</v>
      </c>
      <c r="B29" s="83" t="s">
        <v>204</v>
      </c>
      <c r="C29" s="84" t="s">
        <v>406</v>
      </c>
      <c r="D29" s="708">
        <v>3.47</v>
      </c>
      <c r="E29" s="723">
        <v>7.73</v>
      </c>
      <c r="F29" s="723">
        <v>10.68</v>
      </c>
      <c r="G29" s="724">
        <v>14.818999999999999</v>
      </c>
      <c r="H29" s="708">
        <v>3.8519999999999999</v>
      </c>
      <c r="I29" s="723">
        <v>8.7829999999999995</v>
      </c>
      <c r="J29" s="723">
        <v>13.786053000000001</v>
      </c>
      <c r="K29" s="724">
        <v>19.649999999999999</v>
      </c>
      <c r="L29" s="708">
        <v>5.63</v>
      </c>
      <c r="M29" s="723">
        <v>8.1927529999999997</v>
      </c>
      <c r="N29" s="723">
        <v>13.720642999999999</v>
      </c>
      <c r="O29" s="724">
        <v>20.559000000000001</v>
      </c>
      <c r="P29" s="708">
        <v>6.2937719999999997</v>
      </c>
      <c r="Q29" s="723">
        <v>19.338619000000001</v>
      </c>
      <c r="R29" s="723">
        <v>27.972000000000001</v>
      </c>
      <c r="S29" s="724">
        <v>36.563000000000002</v>
      </c>
      <c r="T29" s="708">
        <v>8.6999999999999993</v>
      </c>
      <c r="U29" s="723">
        <v>18.100000000000001</v>
      </c>
      <c r="V29" s="723">
        <v>29.6</v>
      </c>
      <c r="W29" s="724">
        <v>44.3</v>
      </c>
      <c r="X29" s="708">
        <v>12.4595</v>
      </c>
      <c r="Y29" s="723">
        <v>28.765500000000003</v>
      </c>
      <c r="Z29" s="723">
        <v>46.545500000000004</v>
      </c>
      <c r="AA29" s="724">
        <v>63.155500000000004</v>
      </c>
      <c r="AB29" s="708">
        <v>14.266999999999999</v>
      </c>
      <c r="AC29" s="723">
        <v>37.5777</v>
      </c>
      <c r="AD29" s="723">
        <v>62.9497</v>
      </c>
      <c r="AE29" s="724">
        <v>84.701324999999997</v>
      </c>
    </row>
    <row r="30" spans="1:31" x14ac:dyDescent="0.4">
      <c r="A30" s="156">
        <v>4</v>
      </c>
      <c r="B30" s="83" t="s">
        <v>205</v>
      </c>
      <c r="C30" s="84" t="s">
        <v>407</v>
      </c>
      <c r="D30" s="708">
        <v>2</v>
      </c>
      <c r="E30" s="723">
        <v>4.0199999999999996</v>
      </c>
      <c r="F30" s="723">
        <v>6.629999999999999</v>
      </c>
      <c r="G30" s="724">
        <v>10.246</v>
      </c>
      <c r="H30" s="708">
        <v>3.1680000000000001</v>
      </c>
      <c r="I30" s="723">
        <v>8.6270000000000007</v>
      </c>
      <c r="J30" s="723">
        <v>12.711550000000001</v>
      </c>
      <c r="K30" s="724">
        <v>17.132999999999999</v>
      </c>
      <c r="L30" s="708">
        <v>3.5710000000000002</v>
      </c>
      <c r="M30" s="723">
        <v>6.818873</v>
      </c>
      <c r="N30" s="723">
        <v>9.4719750000000005</v>
      </c>
      <c r="O30" s="724">
        <v>12.377000000000001</v>
      </c>
      <c r="P30" s="708">
        <v>2.9136419999999998</v>
      </c>
      <c r="Q30" s="723">
        <v>6.6576709999999997</v>
      </c>
      <c r="R30" s="723">
        <v>8.7466709999999992</v>
      </c>
      <c r="S30" s="724">
        <v>10.327</v>
      </c>
      <c r="T30" s="708">
        <v>11.8</v>
      </c>
      <c r="U30" s="723">
        <v>19.600000000000001</v>
      </c>
      <c r="V30" s="723">
        <v>23.6</v>
      </c>
      <c r="W30" s="724">
        <v>29.942000000000004</v>
      </c>
      <c r="X30" s="708">
        <v>5.8920000000000003</v>
      </c>
      <c r="Y30" s="723">
        <v>11.542999999999999</v>
      </c>
      <c r="Z30" s="723">
        <v>19.588000000000001</v>
      </c>
      <c r="AA30" s="724">
        <v>26.822000000000003</v>
      </c>
      <c r="AB30" s="708">
        <v>6.5339999999999998</v>
      </c>
      <c r="AC30" s="723">
        <v>13.081720000000001</v>
      </c>
      <c r="AD30" s="723">
        <v>19.622720000000001</v>
      </c>
      <c r="AE30" s="724">
        <v>26.629083000000001</v>
      </c>
    </row>
    <row r="31" spans="1:31" x14ac:dyDescent="0.4">
      <c r="A31" s="156">
        <v>5</v>
      </c>
      <c r="B31" s="76" t="s">
        <v>353</v>
      </c>
      <c r="C31" s="77" t="s">
        <v>354</v>
      </c>
      <c r="D31" s="720">
        <v>1</v>
      </c>
      <c r="E31" s="721">
        <v>2.17</v>
      </c>
      <c r="F31" s="721">
        <v>3.63</v>
      </c>
      <c r="G31" s="722">
        <v>5.3680000000000003</v>
      </c>
      <c r="H31" s="720">
        <v>2.0009999999999999</v>
      </c>
      <c r="I31" s="721">
        <v>3.9299999999999997</v>
      </c>
      <c r="J31" s="721">
        <v>5.0607049999999996</v>
      </c>
      <c r="K31" s="722">
        <v>6.585</v>
      </c>
      <c r="L31" s="720">
        <v>1.415</v>
      </c>
      <c r="M31" s="721">
        <v>2.1560290000000002</v>
      </c>
      <c r="N31" s="721">
        <v>3.3337990000000004</v>
      </c>
      <c r="O31" s="722">
        <v>4.3900000000000006</v>
      </c>
      <c r="P31" s="720">
        <v>1.788149</v>
      </c>
      <c r="Q31" s="721">
        <v>3.2810000000000001</v>
      </c>
      <c r="R31" s="721">
        <v>5.2259349999999998</v>
      </c>
      <c r="S31" s="722">
        <v>7.2429350000000001</v>
      </c>
      <c r="T31" s="720">
        <v>2</v>
      </c>
      <c r="U31" s="721">
        <v>4.3</v>
      </c>
      <c r="V31" s="721">
        <v>5.8</v>
      </c>
      <c r="W31" s="722">
        <v>7.843</v>
      </c>
      <c r="X31" s="720">
        <v>1.1678999999999999</v>
      </c>
      <c r="Y31" s="721">
        <v>2.6999</v>
      </c>
      <c r="Z31" s="721">
        <v>3.5808999999999997</v>
      </c>
      <c r="AA31" s="722">
        <v>5.0928999999999993</v>
      </c>
      <c r="AB31" s="720">
        <v>1.4100000000000001</v>
      </c>
      <c r="AC31" s="721">
        <v>2.4045000000000001</v>
      </c>
      <c r="AD31" s="721">
        <v>3.5994999999999999</v>
      </c>
      <c r="AE31" s="722">
        <v>4.8883450000000002</v>
      </c>
    </row>
    <row r="32" spans="1:31" x14ac:dyDescent="0.4">
      <c r="A32" s="156">
        <v>6</v>
      </c>
      <c r="B32" s="83" t="s">
        <v>204</v>
      </c>
      <c r="C32" s="84" t="s">
        <v>406</v>
      </c>
      <c r="D32" s="708">
        <v>0.63</v>
      </c>
      <c r="E32" s="723">
        <v>1.3900000000000001</v>
      </c>
      <c r="F32" s="723">
        <v>2.5</v>
      </c>
      <c r="G32" s="724">
        <v>3.9359999999999999</v>
      </c>
      <c r="H32" s="708">
        <v>1.7</v>
      </c>
      <c r="I32" s="723">
        <v>3.2559999999999998</v>
      </c>
      <c r="J32" s="723">
        <v>4.1317959999999996</v>
      </c>
      <c r="K32" s="724">
        <v>5.4119999999999999</v>
      </c>
      <c r="L32" s="708">
        <v>1.292</v>
      </c>
      <c r="M32" s="723">
        <v>1.6947559999999999</v>
      </c>
      <c r="N32" s="723">
        <v>2.584308</v>
      </c>
      <c r="O32" s="724">
        <v>3.5579999999999998</v>
      </c>
      <c r="P32" s="708">
        <v>1.6153310000000001</v>
      </c>
      <c r="Q32" s="723">
        <v>2.7646109999999999</v>
      </c>
      <c r="R32" s="723">
        <v>4.5670000000000002</v>
      </c>
      <c r="S32" s="724">
        <v>6.4210000000000003</v>
      </c>
      <c r="T32" s="708">
        <v>1.9</v>
      </c>
      <c r="U32" s="723">
        <v>4</v>
      </c>
      <c r="V32" s="723">
        <v>5.4</v>
      </c>
      <c r="W32" s="724">
        <v>7.3690000000000007</v>
      </c>
      <c r="X32" s="708">
        <v>1.0419</v>
      </c>
      <c r="Y32" s="723">
        <v>2.4489000000000001</v>
      </c>
      <c r="Z32" s="723">
        <v>3.2659000000000002</v>
      </c>
      <c r="AA32" s="724">
        <v>4.7689000000000004</v>
      </c>
      <c r="AB32" s="708">
        <v>1.34</v>
      </c>
      <c r="AC32" s="723">
        <v>2.2755000000000001</v>
      </c>
      <c r="AD32" s="723">
        <v>3.3935000000000004</v>
      </c>
      <c r="AE32" s="724">
        <v>4.5223450000000005</v>
      </c>
    </row>
    <row r="33" spans="1:31" x14ac:dyDescent="0.4">
      <c r="A33" s="156">
        <v>7</v>
      </c>
      <c r="B33" s="83" t="s">
        <v>205</v>
      </c>
      <c r="C33" s="84" t="s">
        <v>407</v>
      </c>
      <c r="D33" s="708">
        <v>0.37</v>
      </c>
      <c r="E33" s="723">
        <v>0.79</v>
      </c>
      <c r="F33" s="723">
        <v>1.1400000000000001</v>
      </c>
      <c r="G33" s="724">
        <v>1.4319999999999999</v>
      </c>
      <c r="H33" s="708">
        <v>0.30099999999999999</v>
      </c>
      <c r="I33" s="723">
        <v>0.67400000000000004</v>
      </c>
      <c r="J33" s="723">
        <v>0.87400000000000011</v>
      </c>
      <c r="K33" s="724">
        <v>1.1740000000000002</v>
      </c>
      <c r="L33" s="708">
        <v>0.123</v>
      </c>
      <c r="M33" s="723">
        <v>0.46127299999999999</v>
      </c>
      <c r="N33" s="723">
        <v>0.74949100000000002</v>
      </c>
      <c r="O33" s="724">
        <v>0.83199999999999996</v>
      </c>
      <c r="P33" s="708">
        <v>0.172818</v>
      </c>
      <c r="Q33" s="723">
        <v>0.51645399999999997</v>
      </c>
      <c r="R33" s="723">
        <v>0.65900000000000003</v>
      </c>
      <c r="S33" s="724">
        <v>0.82199999999999995</v>
      </c>
      <c r="T33" s="708">
        <v>0.1</v>
      </c>
      <c r="U33" s="723">
        <v>0.30000000000000004</v>
      </c>
      <c r="V33" s="723">
        <v>0.4</v>
      </c>
      <c r="W33" s="724">
        <v>0.47400000000000009</v>
      </c>
      <c r="X33" s="708">
        <v>0.126</v>
      </c>
      <c r="Y33" s="723">
        <v>0.251</v>
      </c>
      <c r="Z33" s="723">
        <v>0.315</v>
      </c>
      <c r="AA33" s="724">
        <v>0.32400000000000001</v>
      </c>
      <c r="AB33" s="708">
        <v>7.0000000000000007E-2</v>
      </c>
      <c r="AC33" s="723">
        <v>0.129</v>
      </c>
      <c r="AD33" s="723">
        <v>0.20600000000000002</v>
      </c>
      <c r="AE33" s="724">
        <v>0.36599999999999999</v>
      </c>
    </row>
    <row r="34" spans="1:31" x14ac:dyDescent="0.4">
      <c r="A34" s="156">
        <v>8</v>
      </c>
      <c r="B34" s="76" t="s">
        <v>206</v>
      </c>
      <c r="C34" s="77" t="s">
        <v>355</v>
      </c>
      <c r="D34" s="720">
        <v>3.08</v>
      </c>
      <c r="E34" s="721">
        <v>6.7</v>
      </c>
      <c r="F34" s="721">
        <v>10.969999999999999</v>
      </c>
      <c r="G34" s="722">
        <v>15.6646</v>
      </c>
      <c r="H34" s="720">
        <v>6.6509999999999998</v>
      </c>
      <c r="I34" s="721">
        <v>14.997</v>
      </c>
      <c r="J34" s="721">
        <v>25.031600000000001</v>
      </c>
      <c r="K34" s="722">
        <v>35.005000000000003</v>
      </c>
      <c r="L34" s="720">
        <v>10.49</v>
      </c>
      <c r="M34" s="721">
        <v>18.071489</v>
      </c>
      <c r="N34" s="721">
        <v>27.957432999999998</v>
      </c>
      <c r="O34" s="722">
        <v>37.747</v>
      </c>
      <c r="P34" s="720">
        <v>10.10093</v>
      </c>
      <c r="Q34" s="721">
        <v>21.131</v>
      </c>
      <c r="R34" s="721">
        <v>32.658940999999999</v>
      </c>
      <c r="S34" s="722">
        <v>45.317940999999998</v>
      </c>
      <c r="T34" s="720">
        <v>11.8</v>
      </c>
      <c r="U34" s="721">
        <v>23.8</v>
      </c>
      <c r="V34" s="721">
        <v>39.1</v>
      </c>
      <c r="W34" s="722">
        <v>55.707999999999998</v>
      </c>
      <c r="X34" s="720">
        <v>18.686</v>
      </c>
      <c r="Y34" s="721">
        <v>40.459000000000003</v>
      </c>
      <c r="Z34" s="721">
        <v>60.957000000000001</v>
      </c>
      <c r="AA34" s="722">
        <v>81.043000000000006</v>
      </c>
      <c r="AB34" s="720">
        <v>26.481000000000002</v>
      </c>
      <c r="AC34" s="721">
        <v>52.545999999999999</v>
      </c>
      <c r="AD34" s="721">
        <v>78.180999999999997</v>
      </c>
      <c r="AE34" s="722">
        <v>109.469725</v>
      </c>
    </row>
    <row r="35" spans="1:31" x14ac:dyDescent="0.4">
      <c r="A35" s="156">
        <v>9</v>
      </c>
      <c r="B35" s="83" t="s">
        <v>204</v>
      </c>
      <c r="C35" s="84" t="s">
        <v>406</v>
      </c>
      <c r="D35" s="708">
        <v>1.95</v>
      </c>
      <c r="E35" s="723">
        <v>4.2</v>
      </c>
      <c r="F35" s="723">
        <v>6.32</v>
      </c>
      <c r="G35" s="724">
        <v>7.8266</v>
      </c>
      <c r="H35" s="708">
        <v>2.6219999999999999</v>
      </c>
      <c r="I35" s="723">
        <v>6.2160000000000002</v>
      </c>
      <c r="J35" s="723">
        <v>11.045669</v>
      </c>
      <c r="K35" s="724">
        <v>14.643000000000001</v>
      </c>
      <c r="L35" s="708">
        <v>5.48</v>
      </c>
      <c r="M35" s="723">
        <v>7.6403790000000003</v>
      </c>
      <c r="N35" s="723">
        <v>12.176282</v>
      </c>
      <c r="O35" s="724">
        <v>16.986000000000001</v>
      </c>
      <c r="P35" s="708">
        <v>5.6347199999999997</v>
      </c>
      <c r="Q35" s="723">
        <v>11.691101</v>
      </c>
      <c r="R35" s="723">
        <v>18.742999999999999</v>
      </c>
      <c r="S35" s="724">
        <v>26.725999999999999</v>
      </c>
      <c r="T35" s="708">
        <v>8.3000000000000007</v>
      </c>
      <c r="U35" s="723">
        <v>15.8</v>
      </c>
      <c r="V35" s="723">
        <v>25.6</v>
      </c>
      <c r="W35" s="724">
        <v>34.695</v>
      </c>
      <c r="X35" s="708">
        <v>10.478</v>
      </c>
      <c r="Y35" s="723">
        <v>23.983000000000001</v>
      </c>
      <c r="Z35" s="723">
        <v>36.143000000000001</v>
      </c>
      <c r="AA35" s="724">
        <v>47.777999999999999</v>
      </c>
      <c r="AB35" s="708">
        <v>17.343</v>
      </c>
      <c r="AC35" s="723">
        <v>32.820999999999998</v>
      </c>
      <c r="AD35" s="723">
        <v>46.397999999999996</v>
      </c>
      <c r="AE35" s="724">
        <v>64.496444999999994</v>
      </c>
    </row>
    <row r="36" spans="1:31" x14ac:dyDescent="0.4">
      <c r="A36" s="156">
        <v>10</v>
      </c>
      <c r="B36" s="83" t="s">
        <v>205</v>
      </c>
      <c r="C36" s="84" t="s">
        <v>407</v>
      </c>
      <c r="D36" s="708">
        <v>1.1399999999999999</v>
      </c>
      <c r="E36" s="723">
        <v>2.5</v>
      </c>
      <c r="F36" s="723">
        <v>4.6500000000000004</v>
      </c>
      <c r="G36" s="724">
        <v>7.838000000000001</v>
      </c>
      <c r="H36" s="708">
        <v>4.0289999999999999</v>
      </c>
      <c r="I36" s="723">
        <v>8.7810000000000006</v>
      </c>
      <c r="J36" s="723">
        <v>13.985931000000001</v>
      </c>
      <c r="K36" s="724">
        <v>20.361999999999998</v>
      </c>
      <c r="L36" s="708">
        <v>5.01</v>
      </c>
      <c r="M36" s="723">
        <v>10.43111</v>
      </c>
      <c r="N36" s="723">
        <v>15.781150999999999</v>
      </c>
      <c r="O36" s="724">
        <v>20.760999999999999</v>
      </c>
      <c r="P36" s="708">
        <v>4.4662100000000002</v>
      </c>
      <c r="Q36" s="723">
        <v>9.4399580000000007</v>
      </c>
      <c r="R36" s="723">
        <v>13.916</v>
      </c>
      <c r="S36" s="724">
        <v>18.591999999999999</v>
      </c>
      <c r="T36" s="708">
        <v>3.5</v>
      </c>
      <c r="U36" s="723">
        <v>7.9</v>
      </c>
      <c r="V36" s="723">
        <v>13.4</v>
      </c>
      <c r="W36" s="724">
        <v>20.913</v>
      </c>
      <c r="X36" s="708">
        <v>8.2080000000000002</v>
      </c>
      <c r="Y36" s="723">
        <v>16.475999999999999</v>
      </c>
      <c r="Z36" s="723">
        <v>24.814</v>
      </c>
      <c r="AA36" s="724">
        <v>33.265000000000001</v>
      </c>
      <c r="AB36" s="708">
        <v>9.1379999999999999</v>
      </c>
      <c r="AC36" s="723">
        <v>19.725000000000001</v>
      </c>
      <c r="AD36" s="723">
        <v>31.783000000000001</v>
      </c>
      <c r="AE36" s="724">
        <v>44.973280000000003</v>
      </c>
    </row>
    <row r="37" spans="1:31" ht="26.4" x14ac:dyDescent="0.4">
      <c r="A37" s="156">
        <v>11</v>
      </c>
      <c r="B37" s="76" t="s">
        <v>363</v>
      </c>
      <c r="C37" s="77" t="s">
        <v>402</v>
      </c>
      <c r="D37" s="720">
        <v>0.28000000000000003</v>
      </c>
      <c r="E37" s="721">
        <v>0.66</v>
      </c>
      <c r="F37" s="721">
        <v>0.99</v>
      </c>
      <c r="G37" s="722">
        <v>1.3819999999999999</v>
      </c>
      <c r="H37" s="720">
        <v>0.51800000000000002</v>
      </c>
      <c r="I37" s="721">
        <v>1.415</v>
      </c>
      <c r="J37" s="721">
        <v>2.2230500000000002</v>
      </c>
      <c r="K37" s="722">
        <v>2.7590000000000003</v>
      </c>
      <c r="L37" s="720">
        <v>0.31900000000000001</v>
      </c>
      <c r="M37" s="721">
        <v>0.78001100000000001</v>
      </c>
      <c r="N37" s="721">
        <v>1.1001830000000001</v>
      </c>
      <c r="O37" s="722">
        <v>1.3880000000000001</v>
      </c>
      <c r="P37" s="720">
        <v>0.22407500000000002</v>
      </c>
      <c r="Q37" s="721">
        <v>0.40100000000000002</v>
      </c>
      <c r="R37" s="721">
        <v>0.66007199999999999</v>
      </c>
      <c r="S37" s="722">
        <v>1.1410720000000001</v>
      </c>
      <c r="T37" s="720">
        <v>0.57599999999999996</v>
      </c>
      <c r="U37" s="721">
        <v>1.2759999999999998</v>
      </c>
      <c r="V37" s="721">
        <v>1.71</v>
      </c>
      <c r="W37" s="722">
        <v>1.9649999999999999</v>
      </c>
      <c r="X37" s="720">
        <v>0.27639999999999998</v>
      </c>
      <c r="Y37" s="721">
        <v>0.51639999999999997</v>
      </c>
      <c r="Z37" s="721">
        <v>1.1554</v>
      </c>
      <c r="AA37" s="722">
        <v>2.4283999999999999</v>
      </c>
      <c r="AB37" s="720">
        <v>1.395</v>
      </c>
      <c r="AC37" s="721">
        <v>2.9</v>
      </c>
      <c r="AD37" s="721">
        <v>3.3330000000000002</v>
      </c>
      <c r="AE37" s="722">
        <v>4.497808</v>
      </c>
    </row>
    <row r="38" spans="1:31" x14ac:dyDescent="0.4">
      <c r="A38" s="156">
        <v>12</v>
      </c>
      <c r="B38" s="83" t="s">
        <v>204</v>
      </c>
      <c r="C38" s="84" t="s">
        <v>406</v>
      </c>
      <c r="D38" s="708">
        <v>0.18</v>
      </c>
      <c r="E38" s="723">
        <v>0.44</v>
      </c>
      <c r="F38" s="723">
        <v>0.65</v>
      </c>
      <c r="G38" s="724">
        <v>0.95899999999999996</v>
      </c>
      <c r="H38" s="708">
        <v>0.36099999999999999</v>
      </c>
      <c r="I38" s="723">
        <v>0.82599999999999996</v>
      </c>
      <c r="J38" s="723">
        <v>1.173338</v>
      </c>
      <c r="K38" s="724">
        <v>1.4660000000000002</v>
      </c>
      <c r="L38" s="708">
        <v>0.22900000000000001</v>
      </c>
      <c r="M38" s="723">
        <v>0.49197599999999997</v>
      </c>
      <c r="N38" s="723">
        <v>0.65879600000000005</v>
      </c>
      <c r="O38" s="724">
        <v>0.79700000000000004</v>
      </c>
      <c r="P38" s="708">
        <v>8.7656999999999999E-2</v>
      </c>
      <c r="Q38" s="723">
        <v>0.15234600000000001</v>
      </c>
      <c r="R38" s="723">
        <v>0.23499999999999999</v>
      </c>
      <c r="S38" s="724">
        <v>0.46899999999999997</v>
      </c>
      <c r="T38" s="708">
        <v>0.36499999999999999</v>
      </c>
      <c r="U38" s="723">
        <v>0.81699999999999995</v>
      </c>
      <c r="V38" s="723">
        <v>0.97599999999999998</v>
      </c>
      <c r="W38" s="724">
        <v>1.0649999999999999</v>
      </c>
      <c r="X38" s="708">
        <v>6.3700000000000007E-2</v>
      </c>
      <c r="Y38" s="723">
        <v>9.5700000000000007E-2</v>
      </c>
      <c r="Z38" s="723">
        <v>0.37370000000000003</v>
      </c>
      <c r="AA38" s="724">
        <v>1.3557000000000001</v>
      </c>
      <c r="AB38" s="708">
        <v>0.69899999999999995</v>
      </c>
      <c r="AC38" s="723">
        <v>1.2849999999999999</v>
      </c>
      <c r="AD38" s="723">
        <v>1.4409999999999998</v>
      </c>
      <c r="AE38" s="724">
        <v>1.6697749999999998</v>
      </c>
    </row>
    <row r="39" spans="1:31" x14ac:dyDescent="0.4">
      <c r="A39" s="156">
        <v>13</v>
      </c>
      <c r="B39" s="83" t="s">
        <v>205</v>
      </c>
      <c r="C39" s="84" t="s">
        <v>407</v>
      </c>
      <c r="D39" s="708">
        <v>0.1</v>
      </c>
      <c r="E39" s="723">
        <v>0.22</v>
      </c>
      <c r="F39" s="723">
        <v>0.33999999999999997</v>
      </c>
      <c r="G39" s="724">
        <v>0.42299999999999993</v>
      </c>
      <c r="H39" s="708">
        <v>0.157</v>
      </c>
      <c r="I39" s="723">
        <v>0.58899999999999997</v>
      </c>
      <c r="J39" s="723">
        <v>1.049712</v>
      </c>
      <c r="K39" s="724">
        <v>1.294</v>
      </c>
      <c r="L39" s="708">
        <v>0.09</v>
      </c>
      <c r="M39" s="723">
        <v>0.28803499999999999</v>
      </c>
      <c r="N39" s="723">
        <v>0.44138699999999997</v>
      </c>
      <c r="O39" s="724">
        <v>0.59099999999999997</v>
      </c>
      <c r="P39" s="708">
        <v>0.13641800000000001</v>
      </c>
      <c r="Q39" s="723">
        <v>0.249582</v>
      </c>
      <c r="R39" s="723">
        <v>0.42599999999999999</v>
      </c>
      <c r="S39" s="724">
        <v>0.67300000000000004</v>
      </c>
      <c r="T39" s="708">
        <v>0.21099999999999999</v>
      </c>
      <c r="U39" s="723">
        <v>0.44899999999999995</v>
      </c>
      <c r="V39" s="723">
        <v>0.72399999999999998</v>
      </c>
      <c r="W39" s="724">
        <v>0.89</v>
      </c>
      <c r="X39" s="708">
        <v>0.2127</v>
      </c>
      <c r="Y39" s="723">
        <v>0.42069999999999996</v>
      </c>
      <c r="Z39" s="723">
        <v>0.78169999999999995</v>
      </c>
      <c r="AA39" s="724">
        <v>1.0727</v>
      </c>
      <c r="AB39" s="708">
        <v>0.69599999999999995</v>
      </c>
      <c r="AC39" s="723">
        <v>1.615</v>
      </c>
      <c r="AD39" s="723">
        <v>1.8919999999999999</v>
      </c>
      <c r="AE39" s="724">
        <v>2.828033</v>
      </c>
    </row>
    <row r="40" spans="1:31" ht="26.4" x14ac:dyDescent="0.4">
      <c r="A40" s="156">
        <v>14</v>
      </c>
      <c r="B40" s="76" t="s">
        <v>357</v>
      </c>
      <c r="C40" s="77" t="s">
        <v>358</v>
      </c>
      <c r="D40" s="720"/>
      <c r="E40" s="721"/>
      <c r="F40" s="721"/>
      <c r="G40" s="722"/>
      <c r="H40" s="720"/>
      <c r="I40" s="721"/>
      <c r="J40" s="721"/>
      <c r="K40" s="722"/>
      <c r="L40" s="720"/>
      <c r="M40" s="721"/>
      <c r="N40" s="721"/>
      <c r="O40" s="722"/>
      <c r="P40" s="720"/>
      <c r="Q40" s="721"/>
      <c r="R40" s="721"/>
      <c r="S40" s="722"/>
      <c r="T40" s="720"/>
      <c r="U40" s="721"/>
      <c r="V40" s="721"/>
      <c r="W40" s="722"/>
      <c r="X40" s="720"/>
      <c r="Y40" s="721"/>
      <c r="Z40" s="721"/>
      <c r="AA40" s="722"/>
      <c r="AB40" s="720"/>
      <c r="AC40" s="721"/>
      <c r="AD40" s="721"/>
      <c r="AE40" s="722">
        <v>11.6839</v>
      </c>
    </row>
    <row r="41" spans="1:31" x14ac:dyDescent="0.4">
      <c r="A41" s="156">
        <v>15</v>
      </c>
      <c r="B41" s="83" t="s">
        <v>204</v>
      </c>
      <c r="C41" s="84" t="s">
        <v>406</v>
      </c>
      <c r="D41" s="708"/>
      <c r="E41" s="723"/>
      <c r="F41" s="723"/>
      <c r="G41" s="724"/>
      <c r="H41" s="708"/>
      <c r="I41" s="723"/>
      <c r="J41" s="723"/>
      <c r="K41" s="724"/>
      <c r="L41" s="708"/>
      <c r="M41" s="723"/>
      <c r="N41" s="723"/>
      <c r="O41" s="724"/>
      <c r="P41" s="708"/>
      <c r="Q41" s="723"/>
      <c r="R41" s="723"/>
      <c r="S41" s="724"/>
      <c r="T41" s="708"/>
      <c r="U41" s="723"/>
      <c r="V41" s="723"/>
      <c r="W41" s="724"/>
      <c r="X41" s="708"/>
      <c r="Y41" s="723"/>
      <c r="Z41" s="723"/>
      <c r="AA41" s="724"/>
      <c r="AB41" s="708"/>
      <c r="AC41" s="723"/>
      <c r="AD41" s="723"/>
      <c r="AE41" s="724">
        <v>8.3497669999999999</v>
      </c>
    </row>
    <row r="42" spans="1:31" x14ac:dyDescent="0.4">
      <c r="A42" s="156">
        <v>16</v>
      </c>
      <c r="B42" s="83" t="s">
        <v>205</v>
      </c>
      <c r="C42" s="84" t="s">
        <v>407</v>
      </c>
      <c r="D42" s="708"/>
      <c r="E42" s="723"/>
      <c r="F42" s="723"/>
      <c r="G42" s="724"/>
      <c r="H42" s="708"/>
      <c r="I42" s="723"/>
      <c r="J42" s="723"/>
      <c r="K42" s="724"/>
      <c r="L42" s="708"/>
      <c r="M42" s="723"/>
      <c r="N42" s="723"/>
      <c r="O42" s="724"/>
      <c r="P42" s="708"/>
      <c r="Q42" s="723"/>
      <c r="R42" s="723"/>
      <c r="S42" s="724"/>
      <c r="T42" s="708"/>
      <c r="U42" s="723"/>
      <c r="V42" s="723"/>
      <c r="W42" s="724"/>
      <c r="X42" s="708"/>
      <c r="Y42" s="723"/>
      <c r="Z42" s="723"/>
      <c r="AA42" s="724"/>
      <c r="AB42" s="708"/>
      <c r="AC42" s="723"/>
      <c r="AD42" s="723"/>
      <c r="AE42" s="724">
        <v>3.3339300000000001</v>
      </c>
    </row>
    <row r="43" spans="1:31" x14ac:dyDescent="0.4">
      <c r="A43" s="156">
        <v>17</v>
      </c>
      <c r="B43" s="76" t="s">
        <v>359</v>
      </c>
      <c r="C43" s="77" t="s">
        <v>187</v>
      </c>
      <c r="D43" s="720" t="s">
        <v>126</v>
      </c>
      <c r="E43" s="721" t="s">
        <v>3</v>
      </c>
      <c r="F43" s="721" t="s">
        <v>3</v>
      </c>
      <c r="G43" s="722" t="s">
        <v>3</v>
      </c>
      <c r="H43" s="720" t="s">
        <v>126</v>
      </c>
      <c r="I43" s="721" t="s">
        <v>3</v>
      </c>
      <c r="J43" s="721" t="s">
        <v>3</v>
      </c>
      <c r="K43" s="722" t="s">
        <v>3</v>
      </c>
      <c r="L43" s="720" t="s">
        <v>126</v>
      </c>
      <c r="M43" s="721" t="s">
        <v>3</v>
      </c>
      <c r="N43" s="721" t="s">
        <v>3</v>
      </c>
      <c r="O43" s="722" t="s">
        <v>3</v>
      </c>
      <c r="P43" s="720" t="s">
        <v>126</v>
      </c>
      <c r="Q43" s="721" t="s">
        <v>3</v>
      </c>
      <c r="R43" s="721" t="s">
        <v>3</v>
      </c>
      <c r="S43" s="722" t="s">
        <v>3</v>
      </c>
      <c r="T43" s="720">
        <v>0.51</v>
      </c>
      <c r="U43" s="721">
        <v>1.111</v>
      </c>
      <c r="V43" s="721">
        <v>1.6400000000000001</v>
      </c>
      <c r="W43" s="722">
        <v>2.1510000000000002</v>
      </c>
      <c r="X43" s="720">
        <v>0.49099999999999999</v>
      </c>
      <c r="Y43" s="721">
        <v>0.88400000000000001</v>
      </c>
      <c r="Z43" s="721">
        <v>1.286</v>
      </c>
      <c r="AA43" s="722">
        <v>1.5740000000000001</v>
      </c>
      <c r="AB43" s="720">
        <v>0.29199999999999998</v>
      </c>
      <c r="AC43" s="721">
        <v>0.55600000000000005</v>
      </c>
      <c r="AD43" s="721">
        <v>0.79200000000000004</v>
      </c>
      <c r="AE43" s="722">
        <v>1.0117670000000001</v>
      </c>
    </row>
    <row r="44" spans="1:31" x14ac:dyDescent="0.4">
      <c r="A44" s="156">
        <v>18</v>
      </c>
      <c r="B44" s="90" t="s">
        <v>207</v>
      </c>
      <c r="C44" s="91" t="s">
        <v>7</v>
      </c>
      <c r="D44" s="725">
        <v>9.83</v>
      </c>
      <c r="E44" s="726">
        <v>21.29</v>
      </c>
      <c r="F44" s="726">
        <v>32.9</v>
      </c>
      <c r="G44" s="727">
        <v>47.481000000000002</v>
      </c>
      <c r="H44" s="725">
        <v>16.190000000000001</v>
      </c>
      <c r="I44" s="726">
        <v>37.752000000000002</v>
      </c>
      <c r="J44" s="726">
        <v>58.812957999999995</v>
      </c>
      <c r="K44" s="727">
        <v>81.132999999999996</v>
      </c>
      <c r="L44" s="725">
        <v>21.425000000000001</v>
      </c>
      <c r="M44" s="726">
        <v>36.019154999999998</v>
      </c>
      <c r="N44" s="726">
        <v>55.584032999999998</v>
      </c>
      <c r="O44" s="727">
        <v>76.460999999999999</v>
      </c>
      <c r="P44" s="725">
        <v>21.320568000000002</v>
      </c>
      <c r="Q44" s="726">
        <v>50.808999999999997</v>
      </c>
      <c r="R44" s="726">
        <v>75.263328999999999</v>
      </c>
      <c r="S44" s="727">
        <v>100.591658</v>
      </c>
      <c r="T44" s="725">
        <v>35.385999999999996</v>
      </c>
      <c r="U44" s="726">
        <v>68.086999999999989</v>
      </c>
      <c r="V44" s="726">
        <v>101.35</v>
      </c>
      <c r="W44" s="727">
        <v>141.809</v>
      </c>
      <c r="X44" s="725">
        <v>38.972799999999999</v>
      </c>
      <c r="Y44" s="726">
        <v>84.867800000000003</v>
      </c>
      <c r="Z44" s="726">
        <v>133.11279999999999</v>
      </c>
      <c r="AA44" s="727">
        <v>180.11579999999998</v>
      </c>
      <c r="AB44" s="725">
        <v>50.379000000000005</v>
      </c>
      <c r="AC44" s="726">
        <v>109.06592000000001</v>
      </c>
      <c r="AD44" s="726">
        <v>168.47792000000001</v>
      </c>
      <c r="AE44" s="727">
        <v>242.881752253</v>
      </c>
    </row>
    <row r="45" spans="1:31" x14ac:dyDescent="0.4">
      <c r="A45" s="156">
        <v>19</v>
      </c>
      <c r="B45" s="83" t="s">
        <v>204</v>
      </c>
      <c r="C45" s="84" t="s">
        <v>406</v>
      </c>
      <c r="D45" s="708">
        <v>6.23</v>
      </c>
      <c r="E45" s="723">
        <v>13.760000000000002</v>
      </c>
      <c r="F45" s="723">
        <v>20.14</v>
      </c>
      <c r="G45" s="724">
        <v>27.541</v>
      </c>
      <c r="H45" s="708">
        <v>8.5350000000000001</v>
      </c>
      <c r="I45" s="723">
        <v>19.081</v>
      </c>
      <c r="J45" s="723">
        <v>30.136856000000002</v>
      </c>
      <c r="K45" s="724">
        <v>41.17</v>
      </c>
      <c r="L45" s="708">
        <v>12.631</v>
      </c>
      <c r="M45" s="723">
        <v>18.019863999999998</v>
      </c>
      <c r="N45" s="723">
        <v>29.140028999999998</v>
      </c>
      <c r="O45" s="724">
        <v>41.9</v>
      </c>
      <c r="P45" s="708">
        <v>13.63148</v>
      </c>
      <c r="Q45" s="723">
        <v>33.946677000000001</v>
      </c>
      <c r="R45" s="723">
        <v>51.516999999999996</v>
      </c>
      <c r="S45" s="724">
        <v>70.179000000000002</v>
      </c>
      <c r="T45" s="708">
        <v>19.264999999999997</v>
      </c>
      <c r="U45" s="723">
        <v>38.716999999999999</v>
      </c>
      <c r="V45" s="723">
        <v>61.576000000000001</v>
      </c>
      <c r="W45" s="724">
        <v>87.429000000000002</v>
      </c>
      <c r="X45" s="708">
        <v>24.043100000000003</v>
      </c>
      <c r="Y45" s="723">
        <v>55.293100000000003</v>
      </c>
      <c r="Z45" s="723">
        <v>86.328100000000006</v>
      </c>
      <c r="AA45" s="724">
        <v>117.0581</v>
      </c>
      <c r="AB45" s="708">
        <v>33.649000000000001</v>
      </c>
      <c r="AC45" s="723">
        <v>73.95920000000001</v>
      </c>
      <c r="AD45" s="723">
        <v>114.18220000000001</v>
      </c>
      <c r="AE45" s="724">
        <v>163.73965700000002</v>
      </c>
    </row>
    <row r="46" spans="1:31" ht="18" thickBot="1" x14ac:dyDescent="0.45">
      <c r="A46" s="156">
        <v>20</v>
      </c>
      <c r="B46" s="83" t="s">
        <v>205</v>
      </c>
      <c r="C46" s="84" t="s">
        <v>407</v>
      </c>
      <c r="D46" s="728">
        <v>3.6</v>
      </c>
      <c r="E46" s="729">
        <v>7.53</v>
      </c>
      <c r="F46" s="729">
        <v>12.760000000000002</v>
      </c>
      <c r="G46" s="730">
        <v>19.940000000000001</v>
      </c>
      <c r="H46" s="728">
        <v>7.6550000000000002</v>
      </c>
      <c r="I46" s="729">
        <v>18.671000000000003</v>
      </c>
      <c r="J46" s="729">
        <v>28.621193000000005</v>
      </c>
      <c r="K46" s="730">
        <v>39.908090999999999</v>
      </c>
      <c r="L46" s="728">
        <v>8.7940000000000005</v>
      </c>
      <c r="M46" s="729">
        <v>17.999290999999999</v>
      </c>
      <c r="N46" s="729">
        <v>26.444004</v>
      </c>
      <c r="O46" s="730">
        <v>34.561</v>
      </c>
      <c r="P46" s="728">
        <v>7.6890879999999999</v>
      </c>
      <c r="Q46" s="729">
        <v>16.863664999999997</v>
      </c>
      <c r="R46" s="729">
        <v>23.747670999999997</v>
      </c>
      <c r="S46" s="730">
        <v>30.413999999999994</v>
      </c>
      <c r="T46" s="728">
        <v>16.121000000000002</v>
      </c>
      <c r="U46" s="729">
        <v>29.360000000000003</v>
      </c>
      <c r="V46" s="729">
        <v>39.764000000000003</v>
      </c>
      <c r="W46" s="730">
        <v>54.370000000000005</v>
      </c>
      <c r="X46" s="728">
        <v>14.9297</v>
      </c>
      <c r="Y46" s="729">
        <v>29.5747</v>
      </c>
      <c r="Z46" s="729">
        <v>46.784700000000001</v>
      </c>
      <c r="AA46" s="730">
        <v>63.057699999999997</v>
      </c>
      <c r="AB46" s="728">
        <v>16.73</v>
      </c>
      <c r="AC46" s="729">
        <v>35.106719999999996</v>
      </c>
      <c r="AD46" s="729">
        <v>54.295719999999996</v>
      </c>
      <c r="AE46" s="730">
        <v>79.142092999999988</v>
      </c>
    </row>
    <row r="47" spans="1:31" ht="18" thickBot="1" x14ac:dyDescent="0.45">
      <c r="A47" s="156">
        <v>21</v>
      </c>
      <c r="B47" s="145" t="s">
        <v>208</v>
      </c>
      <c r="C47" s="146" t="s">
        <v>8</v>
      </c>
      <c r="D47" s="731">
        <v>0.63100000000000001</v>
      </c>
      <c r="E47" s="732">
        <v>1.5880000000000001</v>
      </c>
      <c r="F47" s="732">
        <v>2.6840000000000002</v>
      </c>
      <c r="G47" s="733">
        <v>4.1630000000000003</v>
      </c>
      <c r="H47" s="731">
        <v>1.2030000000000001</v>
      </c>
      <c r="I47" s="732">
        <v>3.5140000000000002</v>
      </c>
      <c r="J47" s="732">
        <v>6.8879999999999999</v>
      </c>
      <c r="K47" s="733">
        <v>9.343</v>
      </c>
      <c r="L47" s="731">
        <v>3.2469999999999999</v>
      </c>
      <c r="M47" s="732">
        <v>3.621</v>
      </c>
      <c r="N47" s="732">
        <v>6.0210000000000008</v>
      </c>
      <c r="O47" s="733">
        <v>9.2149999999999999</v>
      </c>
      <c r="P47" s="731">
        <v>2.137</v>
      </c>
      <c r="Q47" s="732">
        <v>4.7370000000000001</v>
      </c>
      <c r="R47" s="732">
        <v>9.3369999999999997</v>
      </c>
      <c r="S47" s="733">
        <v>13.621</v>
      </c>
      <c r="T47" s="731">
        <v>5.0670000000000002</v>
      </c>
      <c r="U47" s="732">
        <v>9.0670000000000002</v>
      </c>
      <c r="V47" s="732">
        <v>16.766999999999999</v>
      </c>
      <c r="W47" s="733">
        <v>26.667000000000002</v>
      </c>
      <c r="X47" s="731">
        <v>9.1059999999999999</v>
      </c>
      <c r="Y47" s="732">
        <v>22.597999999999999</v>
      </c>
      <c r="Z47" s="732">
        <v>36.291865999999999</v>
      </c>
      <c r="AA47" s="733">
        <v>45.701865999999995</v>
      </c>
      <c r="AB47" s="731">
        <v>11.423</v>
      </c>
      <c r="AC47" s="732">
        <v>23.170999999999999</v>
      </c>
      <c r="AD47" s="732">
        <v>36.963999999999999</v>
      </c>
      <c r="AE47" s="733">
        <v>46.938000000000002</v>
      </c>
    </row>
    <row r="48" spans="1:31" x14ac:dyDescent="0.4">
      <c r="B48" s="492"/>
      <c r="C48" s="492"/>
    </row>
    <row r="49" spans="1:31" x14ac:dyDescent="0.4">
      <c r="B49" s="150"/>
      <c r="C49" s="94"/>
    </row>
    <row r="50" spans="1:31" ht="18" thickBot="1" x14ac:dyDescent="0.45">
      <c r="B50" s="43" t="s">
        <v>203</v>
      </c>
      <c r="C50" s="44"/>
    </row>
    <row r="51" spans="1:31" s="681" customFormat="1" x14ac:dyDescent="0.4">
      <c r="A51" s="159"/>
      <c r="B51" s="46" t="s">
        <v>209</v>
      </c>
      <c r="C51" s="46"/>
      <c r="D51" s="718" t="s">
        <v>377</v>
      </c>
      <c r="E51" s="719" t="s">
        <v>378</v>
      </c>
      <c r="F51" s="719" t="s">
        <v>379</v>
      </c>
      <c r="G51" s="719" t="s">
        <v>380</v>
      </c>
      <c r="H51" s="718" t="s">
        <v>381</v>
      </c>
      <c r="I51" s="719" t="s">
        <v>382</v>
      </c>
      <c r="J51" s="719" t="s">
        <v>383</v>
      </c>
      <c r="K51" s="719" t="s">
        <v>384</v>
      </c>
      <c r="L51" s="718" t="s">
        <v>385</v>
      </c>
      <c r="M51" s="719" t="s">
        <v>386</v>
      </c>
      <c r="N51" s="719" t="s">
        <v>387</v>
      </c>
      <c r="O51" s="719" t="s">
        <v>388</v>
      </c>
      <c r="P51" s="718" t="s">
        <v>389</v>
      </c>
      <c r="Q51" s="719" t="s">
        <v>390</v>
      </c>
      <c r="R51" s="719" t="s">
        <v>391</v>
      </c>
      <c r="S51" s="719" t="s">
        <v>392</v>
      </c>
      <c r="T51" s="718" t="s">
        <v>369</v>
      </c>
      <c r="U51" s="719" t="s">
        <v>370</v>
      </c>
      <c r="V51" s="719" t="s">
        <v>371</v>
      </c>
      <c r="W51" s="719" t="s">
        <v>372</v>
      </c>
      <c r="X51" s="718" t="s">
        <v>373</v>
      </c>
      <c r="Y51" s="719" t="s">
        <v>374</v>
      </c>
      <c r="Z51" s="719" t="s">
        <v>375</v>
      </c>
      <c r="AA51" s="719" t="s">
        <v>376</v>
      </c>
      <c r="AB51" s="718" t="s">
        <v>271</v>
      </c>
      <c r="AC51" s="719" t="s">
        <v>251</v>
      </c>
      <c r="AD51" s="719" t="s">
        <v>252</v>
      </c>
      <c r="AE51" s="719" t="s">
        <v>253</v>
      </c>
    </row>
    <row r="52" spans="1:31" x14ac:dyDescent="0.4">
      <c r="A52" s="157"/>
      <c r="B52" s="76" t="s">
        <v>351</v>
      </c>
      <c r="C52" s="77" t="s">
        <v>360</v>
      </c>
      <c r="D52" s="734">
        <v>0.55645981688708035</v>
      </c>
      <c r="E52" s="735">
        <v>0.55190230155002351</v>
      </c>
      <c r="F52" s="735">
        <v>0.52613981762917927</v>
      </c>
      <c r="G52" s="736">
        <v>0.52789536867378528</v>
      </c>
      <c r="H52" s="734">
        <v>0.43360098826436066</v>
      </c>
      <c r="I52" s="735">
        <v>0.46116762025852931</v>
      </c>
      <c r="J52" s="735">
        <v>0.45054021938498662</v>
      </c>
      <c r="K52" s="736">
        <v>0.45335436875254209</v>
      </c>
      <c r="L52" s="734">
        <v>0.42945157526254379</v>
      </c>
      <c r="M52" s="735">
        <v>0.41676785588112769</v>
      </c>
      <c r="N52" s="735">
        <v>0.41725324249141843</v>
      </c>
      <c r="O52" s="736">
        <v>0.43075554858032211</v>
      </c>
      <c r="P52" s="734">
        <v>0.43185594304992247</v>
      </c>
      <c r="Q52" s="735">
        <v>0.51164163829242848</v>
      </c>
      <c r="R52" s="735">
        <v>0.48786549157292791</v>
      </c>
      <c r="S52" s="736">
        <v>0.46613915042537624</v>
      </c>
      <c r="T52" s="734">
        <v>0.57932515684168884</v>
      </c>
      <c r="U52" s="735">
        <v>0.55223464097404806</v>
      </c>
      <c r="V52" s="735">
        <v>0.52392698569314267</v>
      </c>
      <c r="W52" s="736">
        <v>0.52283000373742139</v>
      </c>
      <c r="X52" s="734">
        <v>0.47087969045077599</v>
      </c>
      <c r="Y52" s="735">
        <v>0.47495634386657837</v>
      </c>
      <c r="Z52" s="735">
        <v>0.49682299523411722</v>
      </c>
      <c r="AA52" s="736">
        <v>0.49955362050414237</v>
      </c>
      <c r="AB52" s="734">
        <v>0.4128902915897496</v>
      </c>
      <c r="AC52" s="735">
        <v>0.46448441456322925</v>
      </c>
      <c r="AD52" s="735">
        <v>0.49010825869645108</v>
      </c>
      <c r="AE52" s="736">
        <v>0.45837287884859979</v>
      </c>
    </row>
    <row r="53" spans="1:31" x14ac:dyDescent="0.4">
      <c r="A53" s="160"/>
      <c r="B53" s="83" t="s">
        <v>204</v>
      </c>
      <c r="C53" s="84" t="s">
        <v>406</v>
      </c>
      <c r="D53" s="737">
        <v>0.35300101729399797</v>
      </c>
      <c r="E53" s="738">
        <v>0.36308125880695163</v>
      </c>
      <c r="F53" s="738">
        <v>0.32462006079027356</v>
      </c>
      <c r="G53" s="739">
        <v>0.31210378888397461</v>
      </c>
      <c r="H53" s="737">
        <v>0.23792464484249534</v>
      </c>
      <c r="I53" s="738">
        <v>0.23264992583174399</v>
      </c>
      <c r="J53" s="738">
        <v>0.23440502686499806</v>
      </c>
      <c r="K53" s="739">
        <v>0.24219491452306705</v>
      </c>
      <c r="L53" s="737">
        <v>0.26277712952158694</v>
      </c>
      <c r="M53" s="738">
        <v>0.22745544696981371</v>
      </c>
      <c r="N53" s="738">
        <v>0.246845042712176</v>
      </c>
      <c r="O53" s="739">
        <v>0.26888217522658614</v>
      </c>
      <c r="P53" s="737">
        <v>0.2951972011252233</v>
      </c>
      <c r="Q53" s="738">
        <v>0.38061404475585037</v>
      </c>
      <c r="R53" s="738">
        <v>0.3716550991253656</v>
      </c>
      <c r="S53" s="739">
        <v>0.36347944478656474</v>
      </c>
      <c r="T53" s="737">
        <v>0.24585994461086305</v>
      </c>
      <c r="U53" s="738">
        <v>0.26583635642633696</v>
      </c>
      <c r="V53" s="738">
        <v>0.29205722742969908</v>
      </c>
      <c r="W53" s="739">
        <v>0.31239202025259327</v>
      </c>
      <c r="X53" s="737">
        <v>0.31969732736677892</v>
      </c>
      <c r="Y53" s="738">
        <v>0.33894480592168058</v>
      </c>
      <c r="Z53" s="738">
        <v>0.3496696035242291</v>
      </c>
      <c r="AA53" s="739">
        <v>0.35063831157510894</v>
      </c>
      <c r="AB53" s="737">
        <v>0.28319339407292715</v>
      </c>
      <c r="AC53" s="738">
        <v>0.34454117289800518</v>
      </c>
      <c r="AD53" s="738">
        <v>0.37363768498566458</v>
      </c>
      <c r="AE53" s="739">
        <v>0.34873482348632795</v>
      </c>
    </row>
    <row r="54" spans="1:31" x14ac:dyDescent="0.4">
      <c r="A54" s="160"/>
      <c r="B54" s="83" t="s">
        <v>205</v>
      </c>
      <c r="C54" s="84" t="s">
        <v>407</v>
      </c>
      <c r="D54" s="737">
        <v>0.20345879959308241</v>
      </c>
      <c r="E54" s="738">
        <v>0.18882104274307185</v>
      </c>
      <c r="F54" s="738">
        <v>0.20151975683890574</v>
      </c>
      <c r="G54" s="739">
        <v>0.21579157978981067</v>
      </c>
      <c r="H54" s="737">
        <v>0.19567634342186535</v>
      </c>
      <c r="I54" s="738">
        <v>0.22851769442678535</v>
      </c>
      <c r="J54" s="738">
        <v>0.21613519251998858</v>
      </c>
      <c r="K54" s="739">
        <v>0.2111717796704177</v>
      </c>
      <c r="L54" s="737">
        <v>0.16667444574095683</v>
      </c>
      <c r="M54" s="738">
        <v>0.18931240891131401</v>
      </c>
      <c r="N54" s="738">
        <v>0.17040819977924238</v>
      </c>
      <c r="O54" s="739">
        <v>0.16187337335373592</v>
      </c>
      <c r="P54" s="737">
        <v>0.13665874192469918</v>
      </c>
      <c r="Q54" s="738">
        <v>0.13103330118679762</v>
      </c>
      <c r="R54" s="738">
        <v>0.11621424558565566</v>
      </c>
      <c r="S54" s="739">
        <v>0.10266258858164959</v>
      </c>
      <c r="T54" s="737">
        <v>0.33346521223082581</v>
      </c>
      <c r="U54" s="738">
        <v>0.28786699369923779</v>
      </c>
      <c r="V54" s="738">
        <v>0.23285643808584117</v>
      </c>
      <c r="W54" s="739">
        <v>0.21114315734544356</v>
      </c>
      <c r="X54" s="737">
        <v>0.15118236308399705</v>
      </c>
      <c r="Y54" s="738">
        <v>0.13601153794489781</v>
      </c>
      <c r="Z54" s="738">
        <v>0.14715339170988817</v>
      </c>
      <c r="AA54" s="739">
        <v>0.14891530892903346</v>
      </c>
      <c r="AB54" s="737">
        <v>0.12969689751682248</v>
      </c>
      <c r="AC54" s="738">
        <v>0.11994324166522412</v>
      </c>
      <c r="AD54" s="738">
        <v>0.11647057371078655</v>
      </c>
      <c r="AE54" s="739">
        <v>0.10963805536227182</v>
      </c>
    </row>
    <row r="55" spans="1:31" x14ac:dyDescent="0.4">
      <c r="A55" s="157"/>
      <c r="B55" s="76" t="s">
        <v>353</v>
      </c>
      <c r="C55" s="77" t="s">
        <v>361</v>
      </c>
      <c r="D55" s="734">
        <v>0.10172939979654121</v>
      </c>
      <c r="E55" s="735">
        <v>0.10192578675434476</v>
      </c>
      <c r="F55" s="735">
        <v>0.11033434650455927</v>
      </c>
      <c r="G55" s="736">
        <v>0.11305574861523557</v>
      </c>
      <c r="H55" s="734">
        <v>0.12359481161210623</v>
      </c>
      <c r="I55" s="735">
        <v>0.1041004450095359</v>
      </c>
      <c r="J55" s="735">
        <v>8.6047448931237225E-2</v>
      </c>
      <c r="K55" s="736">
        <v>8.1163028607348434E-2</v>
      </c>
      <c r="L55" s="734">
        <v>6.6044340723453915E-2</v>
      </c>
      <c r="M55" s="735">
        <v>5.9857845082706695E-2</v>
      </c>
      <c r="N55" s="735">
        <v>5.9977637822717908E-2</v>
      </c>
      <c r="O55" s="736">
        <v>5.7414891251749263E-2</v>
      </c>
      <c r="P55" s="734">
        <v>8.3869669888719661E-2</v>
      </c>
      <c r="Q55" s="735">
        <v>6.4575173689700643E-2</v>
      </c>
      <c r="R55" s="735">
        <v>6.9435342143848028E-2</v>
      </c>
      <c r="S55" s="736">
        <v>7.2003336499334769E-2</v>
      </c>
      <c r="T55" s="734">
        <v>5.6519527496750134E-2</v>
      </c>
      <c r="U55" s="735">
        <v>6.3154493515649099E-2</v>
      </c>
      <c r="V55" s="735">
        <v>5.7227429699062658E-2</v>
      </c>
      <c r="W55" s="736">
        <v>5.5306785888060706E-2</v>
      </c>
      <c r="X55" s="734">
        <v>2.9967053945315705E-2</v>
      </c>
      <c r="Y55" s="735">
        <v>3.1813007995965488E-2</v>
      </c>
      <c r="Z55" s="735">
        <v>2.6901244658665432E-2</v>
      </c>
      <c r="AA55" s="736">
        <v>2.8275698189720169E-2</v>
      </c>
      <c r="AB55" s="734">
        <v>2.798785208122432E-2</v>
      </c>
      <c r="AC55" s="735">
        <v>2.2046300072469934E-2</v>
      </c>
      <c r="AD55" s="735">
        <v>2.1364817419398337E-2</v>
      </c>
      <c r="AE55" s="736">
        <v>2.0126439943121008E-2</v>
      </c>
    </row>
    <row r="56" spans="1:31" x14ac:dyDescent="0.4">
      <c r="A56" s="160"/>
      <c r="B56" s="83" t="s">
        <v>204</v>
      </c>
      <c r="C56" s="84" t="s">
        <v>406</v>
      </c>
      <c r="D56" s="737">
        <v>6.4089521871820959E-2</v>
      </c>
      <c r="E56" s="738">
        <v>6.528886801315173E-2</v>
      </c>
      <c r="F56" s="738">
        <v>7.598784194528875E-2</v>
      </c>
      <c r="G56" s="739">
        <v>8.2896316421305363E-2</v>
      </c>
      <c r="H56" s="737">
        <v>0.10500308832612723</v>
      </c>
      <c r="I56" s="738">
        <v>8.6247086247086241E-2</v>
      </c>
      <c r="J56" s="738">
        <v>7.0253157475942629E-2</v>
      </c>
      <c r="K56" s="739">
        <v>6.6705286381620307E-2</v>
      </c>
      <c r="L56" s="737">
        <v>6.0303383897316216E-2</v>
      </c>
      <c r="M56" s="738">
        <v>4.7051520225835392E-2</v>
      </c>
      <c r="N56" s="738">
        <v>4.6493711602394884E-2</v>
      </c>
      <c r="O56" s="739">
        <v>4.6533526896064659E-2</v>
      </c>
      <c r="P56" s="737">
        <v>7.5763975894075616E-2</v>
      </c>
      <c r="Q56" s="738">
        <v>5.4411836485661988E-2</v>
      </c>
      <c r="R56" s="738">
        <v>6.0680281628254847E-2</v>
      </c>
      <c r="S56" s="739">
        <v>6.3832330907598725E-2</v>
      </c>
      <c r="T56" s="737">
        <v>5.3693551121912625E-2</v>
      </c>
      <c r="U56" s="738">
        <v>5.8748366061068938E-2</v>
      </c>
      <c r="V56" s="738">
        <v>5.3280710409472132E-2</v>
      </c>
      <c r="W56" s="739">
        <v>5.1964261788744019E-2</v>
      </c>
      <c r="X56" s="737">
        <v>2.6734029887511293E-2</v>
      </c>
      <c r="Y56" s="738">
        <v>2.8855466973339711E-2</v>
      </c>
      <c r="Z56" s="738">
        <v>2.453483060982866E-2</v>
      </c>
      <c r="AA56" s="739">
        <v>2.6476855445219136E-2</v>
      </c>
      <c r="AB56" s="737">
        <v>2.6598384247404672E-2</v>
      </c>
      <c r="AC56" s="738">
        <v>2.0863529139074792E-2</v>
      </c>
      <c r="AD56" s="738">
        <v>2.0142105268156209E-2</v>
      </c>
      <c r="AE56" s="739">
        <v>1.8619533818618281E-2</v>
      </c>
    </row>
    <row r="57" spans="1:31" x14ac:dyDescent="0.4">
      <c r="A57" s="160"/>
      <c r="B57" s="83" t="s">
        <v>205</v>
      </c>
      <c r="C57" s="84" t="s">
        <v>407</v>
      </c>
      <c r="D57" s="737">
        <v>3.763987792472024E-2</v>
      </c>
      <c r="E57" s="738">
        <v>3.7106622827618604E-2</v>
      </c>
      <c r="F57" s="738">
        <v>3.4650455927051675E-2</v>
      </c>
      <c r="G57" s="739">
        <v>3.0159432193930202E-2</v>
      </c>
      <c r="H57" s="737">
        <v>1.8591723285978998E-2</v>
      </c>
      <c r="I57" s="738">
        <v>1.7853358762449673E-2</v>
      </c>
      <c r="J57" s="738">
        <v>1.4860670670568893E-2</v>
      </c>
      <c r="K57" s="739">
        <v>1.4470067666670777E-2</v>
      </c>
      <c r="L57" s="737">
        <v>5.7409568261376897E-3</v>
      </c>
      <c r="M57" s="738">
        <v>1.2806324856871295E-2</v>
      </c>
      <c r="N57" s="738">
        <v>1.348392622032302E-2</v>
      </c>
      <c r="O57" s="739">
        <v>1.0881364355684597E-2</v>
      </c>
      <c r="P57" s="737">
        <v>8.1056939946440448E-3</v>
      </c>
      <c r="Q57" s="738">
        <v>1.016461650494991E-2</v>
      </c>
      <c r="R57" s="738">
        <v>8.7559241499934187E-3</v>
      </c>
      <c r="S57" s="739">
        <v>8.17165176857906E-3</v>
      </c>
      <c r="T57" s="737">
        <v>2.825976374837507E-3</v>
      </c>
      <c r="U57" s="738">
        <v>4.4061274545801705E-3</v>
      </c>
      <c r="V57" s="738">
        <v>3.9467192895905282E-3</v>
      </c>
      <c r="W57" s="739">
        <v>3.3425240993166872E-3</v>
      </c>
      <c r="X57" s="737">
        <v>3.2330240578044176E-3</v>
      </c>
      <c r="Y57" s="738">
        <v>2.9575410226257777E-3</v>
      </c>
      <c r="Z57" s="738">
        <v>2.366414048836776E-3</v>
      </c>
      <c r="AA57" s="739">
        <v>1.798842744501038E-3</v>
      </c>
      <c r="AB57" s="737">
        <v>1.3894678338196471E-3</v>
      </c>
      <c r="AC57" s="738">
        <v>1.1827709333951429E-3</v>
      </c>
      <c r="AD57" s="738">
        <v>1.2227121512421331E-3</v>
      </c>
      <c r="AE57" s="739">
        <v>1.5069061245027281E-3</v>
      </c>
    </row>
    <row r="58" spans="1:31" x14ac:dyDescent="0.4">
      <c r="A58" s="157"/>
      <c r="B58" s="76" t="s">
        <v>206</v>
      </c>
      <c r="C58" s="77" t="s">
        <v>362</v>
      </c>
      <c r="D58" s="734">
        <v>0.31332655137334692</v>
      </c>
      <c r="E58" s="735">
        <v>0.31470173790511979</v>
      </c>
      <c r="F58" s="735">
        <v>0.33343465045592702</v>
      </c>
      <c r="G58" s="736">
        <v>0.32991301783871441</v>
      </c>
      <c r="H58" s="734">
        <v>0.41080914144533659</v>
      </c>
      <c r="I58" s="735">
        <v>0.39725047679593134</v>
      </c>
      <c r="J58" s="735">
        <v>0.42561368873845801</v>
      </c>
      <c r="K58" s="736">
        <v>0.43145206019745364</v>
      </c>
      <c r="L58" s="734">
        <v>0.4896149358226371</v>
      </c>
      <c r="M58" s="735">
        <v>0.50171884931781441</v>
      </c>
      <c r="N58" s="735">
        <v>0.50297597153484708</v>
      </c>
      <c r="O58" s="736">
        <v>0.4936765148245511</v>
      </c>
      <c r="P58" s="734">
        <v>0.47376458263213245</v>
      </c>
      <c r="Q58" s="735">
        <v>0.41589088547304615</v>
      </c>
      <c r="R58" s="735">
        <v>0.43392899880896846</v>
      </c>
      <c r="S58" s="736">
        <v>0.45051390841972205</v>
      </c>
      <c r="T58" s="734">
        <v>0.33346521223082581</v>
      </c>
      <c r="U58" s="735">
        <v>0.34955277806336016</v>
      </c>
      <c r="V58" s="735">
        <v>0.38579181055747414</v>
      </c>
      <c r="W58" s="736">
        <v>0.39283825427159064</v>
      </c>
      <c r="X58" s="734">
        <v>0.47946259955661386</v>
      </c>
      <c r="Y58" s="735">
        <v>0.4767296901769576</v>
      </c>
      <c r="Z58" s="735">
        <v>0.45793492436489958</v>
      </c>
      <c r="AA58" s="736">
        <v>0.44994942142777045</v>
      </c>
      <c r="AB58" s="734">
        <v>0.52563568153397244</v>
      </c>
      <c r="AC58" s="735">
        <v>0.48178202686962157</v>
      </c>
      <c r="AD58" s="735">
        <v>0.46404300337990873</v>
      </c>
      <c r="AE58" s="736">
        <v>0.45071201926264864</v>
      </c>
    </row>
    <row r="59" spans="1:31" x14ac:dyDescent="0.4">
      <c r="A59" s="160"/>
      <c r="B59" s="83" t="s">
        <v>204</v>
      </c>
      <c r="C59" s="84" t="s">
        <v>406</v>
      </c>
      <c r="D59" s="737">
        <v>0.19837232960325535</v>
      </c>
      <c r="E59" s="738">
        <v>0.19727571629873181</v>
      </c>
      <c r="F59" s="738">
        <v>0.19209726443768999</v>
      </c>
      <c r="G59" s="739">
        <v>0.16483646090014953</v>
      </c>
      <c r="H59" s="737">
        <v>0.16195182211241504</v>
      </c>
      <c r="I59" s="738">
        <v>0.16465352828989191</v>
      </c>
      <c r="J59" s="738">
        <v>0.18781012510882383</v>
      </c>
      <c r="K59" s="739">
        <v>0.18048143172321993</v>
      </c>
      <c r="L59" s="737">
        <v>0.25577596266044345</v>
      </c>
      <c r="M59" s="738">
        <v>0.21211988454476516</v>
      </c>
      <c r="N59" s="738">
        <v>0.21906078675507409</v>
      </c>
      <c r="O59" s="739">
        <v>0.22215246988660886</v>
      </c>
      <c r="P59" s="737">
        <v>0.26428564192098442</v>
      </c>
      <c r="Q59" s="738">
        <v>0.23009901789053122</v>
      </c>
      <c r="R59" s="738">
        <v>0.24903230097621643</v>
      </c>
      <c r="S59" s="739">
        <v>0.26568803548302189</v>
      </c>
      <c r="T59" s="737">
        <v>0.23455603911151307</v>
      </c>
      <c r="U59" s="738">
        <v>0.23205604594122231</v>
      </c>
      <c r="V59" s="738">
        <v>0.25259003453379381</v>
      </c>
      <c r="W59" s="739">
        <v>0.24466007094049039</v>
      </c>
      <c r="X59" s="737">
        <v>0.26885417521964033</v>
      </c>
      <c r="Y59" s="738">
        <v>0.28259245556029494</v>
      </c>
      <c r="Z59" s="738">
        <v>0.27152159672097653</v>
      </c>
      <c r="AA59" s="739">
        <v>0.26526268100855122</v>
      </c>
      <c r="AB59" s="737">
        <v>0.34425058059905911</v>
      </c>
      <c r="AC59" s="738">
        <v>0.30092809926327119</v>
      </c>
      <c r="AD59" s="738">
        <v>0.2753951378317111</v>
      </c>
      <c r="AE59" s="739">
        <v>0.26554668846763213</v>
      </c>
    </row>
    <row r="60" spans="1:31" x14ac:dyDescent="0.4">
      <c r="A60" s="160"/>
      <c r="B60" s="83" t="s">
        <v>205</v>
      </c>
      <c r="C60" s="84" t="s">
        <v>407</v>
      </c>
      <c r="D60" s="737">
        <v>0.11597151576805696</v>
      </c>
      <c r="E60" s="738">
        <v>0.11742602160638799</v>
      </c>
      <c r="F60" s="738">
        <v>0.14133738601823709</v>
      </c>
      <c r="G60" s="739">
        <v>0.16507655693856491</v>
      </c>
      <c r="H60" s="737">
        <v>0.24885731933292154</v>
      </c>
      <c r="I60" s="738">
        <v>0.2325969485060394</v>
      </c>
      <c r="J60" s="738">
        <v>0.23780356362963417</v>
      </c>
      <c r="K60" s="739">
        <v>0.25097062847423368</v>
      </c>
      <c r="L60" s="737">
        <v>0.23383897316219368</v>
      </c>
      <c r="M60" s="738">
        <v>0.28959896477304925</v>
      </c>
      <c r="N60" s="738">
        <v>0.28391518477977301</v>
      </c>
      <c r="O60" s="739">
        <v>0.27152404493794219</v>
      </c>
      <c r="P60" s="737">
        <v>0.20947894071114803</v>
      </c>
      <c r="Q60" s="738">
        <v>0.1857930287941113</v>
      </c>
      <c r="R60" s="738">
        <v>0.18489748174705375</v>
      </c>
      <c r="S60" s="739">
        <v>0.18482645946644999</v>
      </c>
      <c r="T60" s="737">
        <v>9.8909173119312729E-2</v>
      </c>
      <c r="U60" s="738">
        <v>0.11602802297061116</v>
      </c>
      <c r="V60" s="738">
        <v>0.13221509620128269</v>
      </c>
      <c r="W60" s="739">
        <v>0.14747300947048494</v>
      </c>
      <c r="X60" s="737">
        <v>0.21060842433697349</v>
      </c>
      <c r="Y60" s="738">
        <v>0.1941372346166626</v>
      </c>
      <c r="Z60" s="738">
        <v>0.18641332764392307</v>
      </c>
      <c r="AA60" s="739">
        <v>0.1846867404192192</v>
      </c>
      <c r="AB60" s="737">
        <v>0.18138510093491333</v>
      </c>
      <c r="AC60" s="738">
        <v>0.18085392760635036</v>
      </c>
      <c r="AD60" s="738">
        <v>0.18864786554819765</v>
      </c>
      <c r="AE60" s="739">
        <v>0.18516533079501654</v>
      </c>
    </row>
    <row r="61" spans="1:31" ht="26.4" x14ac:dyDescent="0.4">
      <c r="A61" s="157"/>
      <c r="B61" s="76" t="s">
        <v>245</v>
      </c>
      <c r="C61" s="77" t="s">
        <v>356</v>
      </c>
      <c r="D61" s="734">
        <v>2.8484231943031537E-2</v>
      </c>
      <c r="E61" s="735">
        <v>3.1000469704086427E-2</v>
      </c>
      <c r="F61" s="735">
        <v>3.0091185410334346E-2</v>
      </c>
      <c r="G61" s="736">
        <v>2.9106379393862805E-2</v>
      </c>
      <c r="H61" s="734">
        <v>3.1995058678196416E-2</v>
      </c>
      <c r="I61" s="735">
        <v>3.7481457936003389E-2</v>
      </c>
      <c r="J61" s="735">
        <v>3.7798642945318282E-2</v>
      </c>
      <c r="K61" s="736">
        <v>3.4005891560770593E-2</v>
      </c>
      <c r="L61" s="734">
        <v>1.4889148191365227E-2</v>
      </c>
      <c r="M61" s="735">
        <v>2.165544971835125E-2</v>
      </c>
      <c r="N61" s="735">
        <v>1.9793148151016682E-2</v>
      </c>
      <c r="O61" s="736">
        <v>1.8153045343377673E-2</v>
      </c>
      <c r="P61" s="734">
        <v>1.0509804429225339E-2</v>
      </c>
      <c r="Q61" s="735">
        <v>7.892302544824736E-3</v>
      </c>
      <c r="R61" s="735">
        <v>8.7701674742556232E-3</v>
      </c>
      <c r="S61" s="736">
        <v>1.1343604655566967E-2</v>
      </c>
      <c r="T61" s="734">
        <v>1.6277623919064038E-2</v>
      </c>
      <c r="U61" s="735">
        <v>1.8740728773480989E-2</v>
      </c>
      <c r="V61" s="735">
        <v>1.6872224962999508E-2</v>
      </c>
      <c r="W61" s="736">
        <v>1.3856666361091327E-2</v>
      </c>
      <c r="X61" s="734">
        <v>7.0921257902947692E-3</v>
      </c>
      <c r="Y61" s="735">
        <v>6.0847577055137513E-3</v>
      </c>
      <c r="Z61" s="735">
        <v>8.6798564826222578E-3</v>
      </c>
      <c r="AA61" s="736">
        <v>1.3482437409710864E-2</v>
      </c>
      <c r="AB61" s="734">
        <v>2.7690108973977251E-2</v>
      </c>
      <c r="AC61" s="735">
        <v>2.6589424084076857E-2</v>
      </c>
      <c r="AD61" s="735">
        <v>1.9783007767427328E-2</v>
      </c>
      <c r="AE61" s="736">
        <v>1.851850934982887E-2</v>
      </c>
    </row>
    <row r="62" spans="1:31" x14ac:dyDescent="0.4">
      <c r="A62" s="160"/>
      <c r="B62" s="83" t="s">
        <v>204</v>
      </c>
      <c r="C62" s="84" t="s">
        <v>406</v>
      </c>
      <c r="D62" s="737">
        <v>1.8311291963377416E-2</v>
      </c>
      <c r="E62" s="738">
        <v>2.0666979802724285E-2</v>
      </c>
      <c r="F62" s="738">
        <v>1.9756838905775079E-2</v>
      </c>
      <c r="G62" s="739">
        <v>2.0197552705292641E-2</v>
      </c>
      <c r="H62" s="737">
        <v>2.2297714638665842E-2</v>
      </c>
      <c r="I62" s="738">
        <v>2.1879635515999151E-2</v>
      </c>
      <c r="J62" s="738">
        <v>1.9950331353848928E-2</v>
      </c>
      <c r="K62" s="739">
        <v>1.8069096421924499E-2</v>
      </c>
      <c r="L62" s="737">
        <v>1.0688448074679113E-2</v>
      </c>
      <c r="M62" s="738">
        <v>1.3658732416126919E-2</v>
      </c>
      <c r="N62" s="738">
        <v>1.1852252606427463E-2</v>
      </c>
      <c r="O62" s="739">
        <v>1.0423614653221905E-2</v>
      </c>
      <c r="P62" s="737">
        <v>4.1113820232181429E-3</v>
      </c>
      <c r="Q62" s="738">
        <v>2.9984057942490506E-3</v>
      </c>
      <c r="R62" s="738">
        <v>3.1223705238975011E-3</v>
      </c>
      <c r="S62" s="739">
        <v>4.6624144519021643E-3</v>
      </c>
      <c r="T62" s="737">
        <v>1.03148137681569E-2</v>
      </c>
      <c r="U62" s="738">
        <v>1.199935376797333E-2</v>
      </c>
      <c r="V62" s="738">
        <v>9.6299950666008886E-3</v>
      </c>
      <c r="W62" s="739">
        <v>7.5101016155533148E-3</v>
      </c>
      <c r="X62" s="737">
        <v>1.634473273667789E-3</v>
      </c>
      <c r="Y62" s="738">
        <v>1.1276361588258444E-3</v>
      </c>
      <c r="Z62" s="738">
        <v>2.8073934287311218E-3</v>
      </c>
      <c r="AA62" s="739">
        <v>7.5268244096298063E-3</v>
      </c>
      <c r="AB62" s="737">
        <v>1.387482879771333E-2</v>
      </c>
      <c r="AC62" s="738">
        <v>1.178186549932371E-2</v>
      </c>
      <c r="AD62" s="738">
        <v>8.553049562815114E-3</v>
      </c>
      <c r="AE62" s="739">
        <v>6.8748474700588598E-3</v>
      </c>
    </row>
    <row r="63" spans="1:31" x14ac:dyDescent="0.4">
      <c r="A63" s="160"/>
      <c r="B63" s="83" t="s">
        <v>205</v>
      </c>
      <c r="C63" s="84" t="s">
        <v>407</v>
      </c>
      <c r="D63" s="737">
        <v>1.0172939979654121E-2</v>
      </c>
      <c r="E63" s="738">
        <v>1.0333489901362142E-2</v>
      </c>
      <c r="F63" s="738">
        <v>1.0334346504559271E-2</v>
      </c>
      <c r="G63" s="739">
        <v>8.9088266885701626E-3</v>
      </c>
      <c r="H63" s="737">
        <v>9.6973440395305734E-3</v>
      </c>
      <c r="I63" s="738">
        <v>1.5601822420004236E-2</v>
      </c>
      <c r="J63" s="738">
        <v>1.7848311591469351E-2</v>
      </c>
      <c r="K63" s="739">
        <v>1.5949120579788742E-2</v>
      </c>
      <c r="L63" s="737">
        <v>4.2007001166861138E-3</v>
      </c>
      <c r="M63" s="738">
        <v>7.996717302224331E-3</v>
      </c>
      <c r="N63" s="738">
        <v>7.9408955445892174E-3</v>
      </c>
      <c r="O63" s="739">
        <v>7.7294306901557657E-3</v>
      </c>
      <c r="P63" s="737">
        <v>6.3984224060071948E-3</v>
      </c>
      <c r="Q63" s="738">
        <v>4.912161231277923E-3</v>
      </c>
      <c r="R63" s="738">
        <v>5.660126992256747E-3</v>
      </c>
      <c r="S63" s="739">
        <v>6.6904156207466042E-3</v>
      </c>
      <c r="T63" s="737">
        <v>5.962810150907139E-3</v>
      </c>
      <c r="U63" s="738">
        <v>6.5945040903549875E-3</v>
      </c>
      <c r="V63" s="738">
        <v>7.1435619141588559E-3</v>
      </c>
      <c r="W63" s="739">
        <v>6.2760473594764788E-3</v>
      </c>
      <c r="X63" s="737">
        <v>5.4576525166269811E-3</v>
      </c>
      <c r="Y63" s="738">
        <v>4.9571215466879068E-3</v>
      </c>
      <c r="Z63" s="738">
        <v>5.872463053891136E-3</v>
      </c>
      <c r="AA63" s="739">
        <v>5.9556130000810595E-3</v>
      </c>
      <c r="AB63" s="737">
        <v>1.3815280176263918E-2</v>
      </c>
      <c r="AC63" s="738">
        <v>1.4807558584753147E-2</v>
      </c>
      <c r="AD63" s="738">
        <v>1.1229958204612211E-2</v>
      </c>
      <c r="AE63" s="739">
        <v>1.164366187977001E-2</v>
      </c>
    </row>
    <row r="64" spans="1:31" ht="26.4" x14ac:dyDescent="0.4">
      <c r="B64" s="76" t="s">
        <v>357</v>
      </c>
      <c r="C64" s="77" t="s">
        <v>358</v>
      </c>
      <c r="D64" s="720"/>
      <c r="E64" s="721"/>
      <c r="F64" s="721"/>
      <c r="G64" s="722"/>
      <c r="H64" s="720"/>
      <c r="I64" s="721"/>
      <c r="J64" s="721"/>
      <c r="K64" s="722"/>
      <c r="L64" s="720"/>
      <c r="M64" s="721"/>
      <c r="N64" s="721"/>
      <c r="O64" s="722"/>
      <c r="P64" s="720"/>
      <c r="Q64" s="721"/>
      <c r="R64" s="721"/>
      <c r="S64" s="722"/>
      <c r="T64" s="720"/>
      <c r="U64" s="721"/>
      <c r="V64" s="721"/>
      <c r="W64" s="722"/>
      <c r="X64" s="720"/>
      <c r="Y64" s="721"/>
      <c r="Z64" s="721"/>
      <c r="AA64" s="722"/>
      <c r="AB64" s="720"/>
      <c r="AC64" s="721"/>
      <c r="AD64" s="721"/>
      <c r="AE64" s="740">
        <v>4.8105301825348154E-2</v>
      </c>
    </row>
    <row r="65" spans="1:31" x14ac:dyDescent="0.4">
      <c r="B65" s="83" t="s">
        <v>204</v>
      </c>
      <c r="C65" s="84" t="s">
        <v>406</v>
      </c>
      <c r="D65" s="708"/>
      <c r="E65" s="723"/>
      <c r="F65" s="723"/>
      <c r="G65" s="724"/>
      <c r="H65" s="708"/>
      <c r="I65" s="723"/>
      <c r="J65" s="723"/>
      <c r="K65" s="724"/>
      <c r="L65" s="708"/>
      <c r="M65" s="723"/>
      <c r="N65" s="723"/>
      <c r="O65" s="724"/>
      <c r="P65" s="708"/>
      <c r="Q65" s="723"/>
      <c r="R65" s="723"/>
      <c r="S65" s="724"/>
      <c r="T65" s="708"/>
      <c r="U65" s="723"/>
      <c r="V65" s="723"/>
      <c r="W65" s="724"/>
      <c r="X65" s="708"/>
      <c r="Y65" s="723"/>
      <c r="Z65" s="723"/>
      <c r="AA65" s="724"/>
      <c r="AB65" s="708"/>
      <c r="AC65" s="723"/>
      <c r="AD65" s="723"/>
      <c r="AE65" s="739">
        <v>3.437790991931905E-2</v>
      </c>
    </row>
    <row r="66" spans="1:31" x14ac:dyDescent="0.4">
      <c r="B66" s="83" t="s">
        <v>205</v>
      </c>
      <c r="C66" s="84" t="s">
        <v>407</v>
      </c>
      <c r="D66" s="708"/>
      <c r="E66" s="723"/>
      <c r="F66" s="723"/>
      <c r="G66" s="724"/>
      <c r="H66" s="708"/>
      <c r="I66" s="723"/>
      <c r="J66" s="723"/>
      <c r="K66" s="724"/>
      <c r="L66" s="708"/>
      <c r="M66" s="723"/>
      <c r="N66" s="723"/>
      <c r="O66" s="724"/>
      <c r="P66" s="708"/>
      <c r="Q66" s="723"/>
      <c r="R66" s="723"/>
      <c r="S66" s="724"/>
      <c r="T66" s="708"/>
      <c r="U66" s="723"/>
      <c r="V66" s="723"/>
      <c r="W66" s="724"/>
      <c r="X66" s="708"/>
      <c r="Y66" s="723"/>
      <c r="Z66" s="723"/>
      <c r="AA66" s="724"/>
      <c r="AB66" s="708"/>
      <c r="AC66" s="723"/>
      <c r="AD66" s="723"/>
      <c r="AE66" s="739">
        <v>1.3726556108369892E-2</v>
      </c>
    </row>
    <row r="67" spans="1:31" x14ac:dyDescent="0.4">
      <c r="A67" s="157"/>
      <c r="B67" s="76" t="s">
        <v>359</v>
      </c>
      <c r="C67" s="77" t="s">
        <v>365</v>
      </c>
      <c r="D67" s="734" t="s">
        <v>393</v>
      </c>
      <c r="E67" s="735" t="s">
        <v>393</v>
      </c>
      <c r="F67" s="735" t="s">
        <v>393</v>
      </c>
      <c r="G67" s="736" t="s">
        <v>393</v>
      </c>
      <c r="H67" s="734" t="s">
        <v>393</v>
      </c>
      <c r="I67" s="735" t="s">
        <v>393</v>
      </c>
      <c r="J67" s="735" t="s">
        <v>393</v>
      </c>
      <c r="K67" s="736" t="s">
        <v>393</v>
      </c>
      <c r="L67" s="734" t="s">
        <v>393</v>
      </c>
      <c r="M67" s="735" t="s">
        <v>393</v>
      </c>
      <c r="N67" s="735" t="s">
        <v>393</v>
      </c>
      <c r="O67" s="736" t="s">
        <v>393</v>
      </c>
      <c r="P67" s="734" t="s">
        <v>393</v>
      </c>
      <c r="Q67" s="735" t="s">
        <v>393</v>
      </c>
      <c r="R67" s="735" t="s">
        <v>393</v>
      </c>
      <c r="S67" s="736" t="s">
        <v>393</v>
      </c>
      <c r="T67" s="734">
        <v>1.4412479511671284E-2</v>
      </c>
      <c r="U67" s="735">
        <v>1.6317358673461898E-2</v>
      </c>
      <c r="V67" s="735">
        <v>1.6181549087321168E-2</v>
      </c>
      <c r="W67" s="736">
        <v>1.5168289741835851E-2</v>
      </c>
      <c r="X67" s="734">
        <v>1.2598530256999753E-2</v>
      </c>
      <c r="Y67" s="735">
        <v>1.0416200254984812E-2</v>
      </c>
      <c r="Z67" s="735">
        <v>9.6609792596955377E-3</v>
      </c>
      <c r="AA67" s="736">
        <v>8.7388224686562772E-3</v>
      </c>
      <c r="AB67" s="734">
        <v>5.7960658210762413E-3</v>
      </c>
      <c r="AC67" s="735">
        <v>5.097834410602322E-3</v>
      </c>
      <c r="AD67" s="735">
        <v>4.7009127368144148E-3</v>
      </c>
      <c r="AE67" s="736">
        <v>4.1656772919938575E-3</v>
      </c>
    </row>
    <row r="68" spans="1:31" s="744" customFormat="1" x14ac:dyDescent="0.4">
      <c r="A68" s="162"/>
      <c r="B68" s="151" t="s">
        <v>207</v>
      </c>
      <c r="C68" s="152" t="s">
        <v>7</v>
      </c>
      <c r="D68" s="741">
        <v>1</v>
      </c>
      <c r="E68" s="742">
        <v>1</v>
      </c>
      <c r="F68" s="742">
        <v>1</v>
      </c>
      <c r="G68" s="743">
        <v>1</v>
      </c>
      <c r="H68" s="741">
        <v>1</v>
      </c>
      <c r="I68" s="742">
        <v>1</v>
      </c>
      <c r="J68" s="742">
        <v>1</v>
      </c>
      <c r="K68" s="743">
        <v>1</v>
      </c>
      <c r="L68" s="741">
        <v>1</v>
      </c>
      <c r="M68" s="742">
        <v>1</v>
      </c>
      <c r="N68" s="742">
        <v>1</v>
      </c>
      <c r="O68" s="743">
        <v>1</v>
      </c>
      <c r="P68" s="741">
        <v>1</v>
      </c>
      <c r="Q68" s="742">
        <v>1</v>
      </c>
      <c r="R68" s="742">
        <v>1</v>
      </c>
      <c r="S68" s="743">
        <v>1</v>
      </c>
      <c r="T68" s="741">
        <v>1</v>
      </c>
      <c r="U68" s="742">
        <v>1</v>
      </c>
      <c r="V68" s="742">
        <v>1</v>
      </c>
      <c r="W68" s="743">
        <v>1</v>
      </c>
      <c r="X68" s="741">
        <v>1</v>
      </c>
      <c r="Y68" s="742">
        <v>1</v>
      </c>
      <c r="Z68" s="742">
        <v>1</v>
      </c>
      <c r="AA68" s="743">
        <v>1</v>
      </c>
      <c r="AB68" s="741">
        <v>1</v>
      </c>
      <c r="AC68" s="742">
        <v>1</v>
      </c>
      <c r="AD68" s="742">
        <v>1</v>
      </c>
      <c r="AE68" s="743">
        <v>1</v>
      </c>
    </row>
    <row r="69" spans="1:31" x14ac:dyDescent="0.4">
      <c r="A69" s="160"/>
      <c r="B69" s="83" t="s">
        <v>204</v>
      </c>
      <c r="C69" s="84" t="s">
        <v>406</v>
      </c>
      <c r="D69" s="629">
        <v>0.63377416073245174</v>
      </c>
      <c r="E69" s="745">
        <v>0.64631282292155956</v>
      </c>
      <c r="F69" s="745">
        <v>0.61215805471124629</v>
      </c>
      <c r="G69" s="631">
        <v>0.58004254333312266</v>
      </c>
      <c r="H69" s="629">
        <v>0.52717726991970348</v>
      </c>
      <c r="I69" s="745">
        <v>0.50543017588472128</v>
      </c>
      <c r="J69" s="745">
        <v>0.51241864080361343</v>
      </c>
      <c r="K69" s="631">
        <v>0.50743840360888914</v>
      </c>
      <c r="L69" s="629">
        <v>0.58954492415402571</v>
      </c>
      <c r="M69" s="745">
        <v>0.50028558415654112</v>
      </c>
      <c r="N69" s="745">
        <v>0.52425179367607244</v>
      </c>
      <c r="O69" s="631">
        <v>0.54799178666248149</v>
      </c>
      <c r="P69" s="629">
        <v>0.63935820096350149</v>
      </c>
      <c r="Q69" s="745">
        <v>0.66812330492629268</v>
      </c>
      <c r="R69" s="745">
        <v>0.68449005225373427</v>
      </c>
      <c r="S69" s="631">
        <v>0.69766222562908753</v>
      </c>
      <c r="T69" s="629">
        <v>0.5444243486124456</v>
      </c>
      <c r="U69" s="745">
        <v>0.56864012219660143</v>
      </c>
      <c r="V69" s="745">
        <v>0.60755796743956592</v>
      </c>
      <c r="W69" s="631">
        <v>0.61652645459738098</v>
      </c>
      <c r="X69" s="629">
        <v>0.61692000574759842</v>
      </c>
      <c r="Y69" s="745">
        <v>0.65152036461414109</v>
      </c>
      <c r="Z69" s="745">
        <v>0.64853342428376548</v>
      </c>
      <c r="AA69" s="631">
        <v>0.64990467243850902</v>
      </c>
      <c r="AB69" s="629">
        <v>0.66791718771710429</v>
      </c>
      <c r="AC69" s="745">
        <v>0.67811466679967491</v>
      </c>
      <c r="AD69" s="745">
        <v>0.67772797764834702</v>
      </c>
      <c r="AE69" s="631">
        <v>0.67415380316195639</v>
      </c>
    </row>
    <row r="70" spans="1:31" ht="18" thickBot="1" x14ac:dyDescent="0.45">
      <c r="B70" s="83" t="s">
        <v>205</v>
      </c>
      <c r="C70" s="84" t="s">
        <v>407</v>
      </c>
      <c r="D70" s="746">
        <v>0.36622583926754831</v>
      </c>
      <c r="E70" s="747">
        <v>0.35368717707844061</v>
      </c>
      <c r="F70" s="747">
        <v>0.38784194528875388</v>
      </c>
      <c r="G70" s="748">
        <v>0.41995745666687728</v>
      </c>
      <c r="H70" s="746">
        <v>0.47282273008029646</v>
      </c>
      <c r="I70" s="747">
        <v>0.49456982411527872</v>
      </c>
      <c r="J70" s="747">
        <v>0.48664773841166103</v>
      </c>
      <c r="K70" s="748">
        <v>0.49188481875439094</v>
      </c>
      <c r="L70" s="746">
        <v>0.41045507584597435</v>
      </c>
      <c r="M70" s="747">
        <v>0.49971441584345888</v>
      </c>
      <c r="N70" s="747">
        <v>0.47574820632392761</v>
      </c>
      <c r="O70" s="748">
        <v>0.45200821333751851</v>
      </c>
      <c r="P70" s="746">
        <v>0.36064179903649846</v>
      </c>
      <c r="Q70" s="747">
        <v>0.33190310771713671</v>
      </c>
      <c r="R70" s="747">
        <v>0.31552777847495955</v>
      </c>
      <c r="S70" s="748">
        <v>0.30235111543742521</v>
      </c>
      <c r="T70" s="746">
        <v>0.45557565138755451</v>
      </c>
      <c r="U70" s="747">
        <v>0.43121300688824604</v>
      </c>
      <c r="V70" s="747">
        <v>0.39234336457819441</v>
      </c>
      <c r="W70" s="748">
        <v>0.38340302801655751</v>
      </c>
      <c r="X70" s="746">
        <v>0.38307999425240169</v>
      </c>
      <c r="Y70" s="747">
        <v>0.34847963538585891</v>
      </c>
      <c r="Z70" s="747">
        <v>0.35146657571623469</v>
      </c>
      <c r="AA70" s="748">
        <v>0.35009532756149103</v>
      </c>
      <c r="AB70" s="746">
        <v>0.3320828122828956</v>
      </c>
      <c r="AC70" s="747">
        <v>0.32188533320032503</v>
      </c>
      <c r="AD70" s="747">
        <v>0.32227202235165292</v>
      </c>
      <c r="AE70" s="748">
        <v>0.32584618756192479</v>
      </c>
    </row>
    <row r="71" spans="1:31" ht="18" thickBot="1" x14ac:dyDescent="0.45">
      <c r="B71" s="145" t="s">
        <v>208</v>
      </c>
      <c r="C71" s="146" t="s">
        <v>8</v>
      </c>
      <c r="D71" s="749">
        <v>6.4191251271617497E-2</v>
      </c>
      <c r="E71" s="750">
        <v>7.4589008924377642E-2</v>
      </c>
      <c r="F71" s="750">
        <v>8.1580547112462015E-2</v>
      </c>
      <c r="G71" s="751">
        <v>8.767717613361134E-2</v>
      </c>
      <c r="H71" s="749">
        <v>7.4305126621371217E-2</v>
      </c>
      <c r="I71" s="750">
        <v>9.3081161262979439E-2</v>
      </c>
      <c r="J71" s="750">
        <v>0.11711704757308757</v>
      </c>
      <c r="K71" s="751">
        <v>0.11515659472717638</v>
      </c>
      <c r="L71" s="749">
        <v>0.15155192532088679</v>
      </c>
      <c r="M71" s="750">
        <v>0.10052984307932822</v>
      </c>
      <c r="N71" s="750">
        <v>0.1083224745494808</v>
      </c>
      <c r="O71" s="751">
        <v>0.12051895737696341</v>
      </c>
      <c r="P71" s="749">
        <v>0.10023185123398212</v>
      </c>
      <c r="Q71" s="750">
        <v>9.3231514101832363E-2</v>
      </c>
      <c r="R71" s="750">
        <v>0.1240577599218339</v>
      </c>
      <c r="S71" s="751">
        <v>0.13540884274916715</v>
      </c>
      <c r="T71" s="749">
        <v>0.14319222291301648</v>
      </c>
      <c r="U71" s="750">
        <v>0.133167858768928</v>
      </c>
      <c r="V71" s="750">
        <v>0.16543660582141095</v>
      </c>
      <c r="W71" s="751">
        <v>0.18804871341029133</v>
      </c>
      <c r="X71" s="749">
        <v>0.23365013547910338</v>
      </c>
      <c r="Y71" s="750">
        <v>0.26627295629202119</v>
      </c>
      <c r="Z71" s="750">
        <v>0.2726399414631801</v>
      </c>
      <c r="AA71" s="751">
        <v>0.2537360187168477</v>
      </c>
      <c r="AB71" s="749">
        <v>0.22674130093888326</v>
      </c>
      <c r="AC71" s="750">
        <v>0.21244949843177408</v>
      </c>
      <c r="AD71" s="750">
        <v>0.21939966970152525</v>
      </c>
      <c r="AE71" s="751">
        <v>0.19325453462270234</v>
      </c>
    </row>
  </sheetData>
  <phoneticPr fontId="3" type="noConversion"/>
  <conditionalFormatting sqref="D3:O3">
    <cfRule type="cellIs" dxfId="47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461AA-E5B6-4DD5-B382-5F4608DD53DC}">
  <dimension ref="A1:BW71"/>
  <sheetViews>
    <sheetView showGridLines="0" view="pageBreakPreview" zoomScaleNormal="100" zoomScaleSheetLayoutView="100" workbookViewId="0">
      <pane xSplit="3" ySplit="3" topLeftCell="O4" activePane="bottomRight" state="frozen"/>
      <selection activeCell="CO4" sqref="CO4"/>
      <selection pane="topRight" activeCell="CO4" sqref="CO4"/>
      <selection pane="bottomLeft" activeCell="CO4" sqref="CO4"/>
      <selection pane="bottomRight" activeCell="CO4" sqref="CO4"/>
    </sheetView>
  </sheetViews>
  <sheetFormatPr defaultColWidth="7.59765625" defaultRowHeight="13.2" outlineLevelCol="1" x14ac:dyDescent="0.4"/>
  <cols>
    <col min="1" max="1" width="3.19921875" style="156" customWidth="1"/>
    <col min="2" max="2" width="14.5" style="103" customWidth="1"/>
    <col min="3" max="3" width="14.59765625" style="103" customWidth="1"/>
    <col min="4" max="4" width="9.19921875" style="389" hidden="1" customWidth="1" outlineLevel="1"/>
    <col min="5" max="5" width="9.19921875" style="336" hidden="1" customWidth="1" outlineLevel="1"/>
    <col min="6" max="6" width="5.69921875" style="336" hidden="1" customWidth="1" outlineLevel="1"/>
    <col min="7" max="7" width="9.19921875" style="336" hidden="1" customWidth="1" outlineLevel="1"/>
    <col min="8" max="8" width="5.69921875" style="336" hidden="1" customWidth="1" outlineLevel="1"/>
    <col min="9" max="9" width="9.19921875" style="336" hidden="1" customWidth="1" outlineLevel="1"/>
    <col min="10" max="10" width="5.69921875" style="336" hidden="1" customWidth="1" outlineLevel="1"/>
    <col min="11" max="11" width="9.19921875" style="336" hidden="1" customWidth="1" outlineLevel="1"/>
    <col min="12" max="12" width="5.69921875" style="336" hidden="1" customWidth="1" outlineLevel="1" collapsed="1"/>
    <col min="13" max="13" width="9.19921875" style="336" hidden="1" customWidth="1" outlineLevel="1"/>
    <col min="14" max="14" width="5.69921875" style="336" hidden="1" customWidth="1" outlineLevel="1"/>
    <col min="15" max="15" width="9.19921875" style="336" customWidth="1" outlineLevel="1"/>
    <col min="16" max="16" width="5.69921875" style="336" customWidth="1" outlineLevel="1"/>
    <col min="17" max="17" width="9.19921875" style="336" customWidth="1"/>
    <col min="18" max="18" width="5.69921875" style="336" customWidth="1"/>
    <col min="19" max="19" width="9.19921875" style="336" customWidth="1"/>
    <col min="20" max="20" width="7.19921875" style="336" bestFit="1" customWidth="1"/>
    <col min="21" max="21" width="9.19921875" style="336" customWidth="1"/>
    <col min="22" max="22" width="7.8984375" style="336" bestFit="1" customWidth="1"/>
    <col min="23" max="23" width="9.19921875" style="336" customWidth="1"/>
    <col min="24" max="24" width="5.69921875" style="336" bestFit="1" customWidth="1"/>
    <col min="25" max="25" width="7.59765625" style="11"/>
    <col min="26" max="26" width="12.296875" style="11" bestFit="1" customWidth="1"/>
    <col min="27" max="16384" width="7.59765625" style="11"/>
  </cols>
  <sheetData>
    <row r="1" spans="1:75" ht="16.2" customHeight="1" x14ac:dyDescent="0.4">
      <c r="B1" s="40" t="s">
        <v>210</v>
      </c>
      <c r="C1" s="44"/>
      <c r="E1" s="389"/>
      <c r="G1" s="389"/>
      <c r="I1" s="389"/>
      <c r="K1" s="389"/>
      <c r="M1" s="389"/>
      <c r="O1" s="389"/>
      <c r="Q1" s="389"/>
      <c r="S1" s="389"/>
      <c r="U1" s="389"/>
      <c r="W1" s="389"/>
      <c r="Y1" s="116"/>
      <c r="Z1" s="116"/>
      <c r="AD1" s="116"/>
      <c r="AG1" s="116"/>
      <c r="AJ1" s="116"/>
      <c r="AM1" s="116"/>
      <c r="AP1" s="116"/>
      <c r="AS1" s="116"/>
      <c r="AV1" s="116"/>
      <c r="AY1" s="116"/>
      <c r="BB1" s="116"/>
      <c r="BE1" s="116"/>
      <c r="BH1" s="116"/>
      <c r="BK1" s="116"/>
      <c r="BN1" s="116"/>
      <c r="BQ1" s="116"/>
      <c r="BT1" s="42"/>
    </row>
    <row r="2" spans="1:75" s="45" customFormat="1" ht="16.2" customHeight="1" x14ac:dyDescent="0.4">
      <c r="A2" s="157"/>
      <c r="B2" s="40" t="s">
        <v>211</v>
      </c>
      <c r="C2" s="41"/>
      <c r="D2" s="639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640"/>
      <c r="P2" s="640"/>
      <c r="Q2" s="640"/>
      <c r="R2" s="640"/>
      <c r="S2" s="640"/>
      <c r="T2" s="390"/>
      <c r="U2" s="389"/>
      <c r="V2" s="390"/>
      <c r="W2" s="11" t="s">
        <v>405</v>
      </c>
      <c r="X2" s="390"/>
      <c r="Z2" s="117"/>
      <c r="AJ2" s="117"/>
      <c r="AV2" s="117"/>
      <c r="BH2" s="117"/>
    </row>
    <row r="3" spans="1:75" s="21" customFormat="1" ht="16.2" customHeight="1" x14ac:dyDescent="0.4">
      <c r="A3" s="156">
        <v>1</v>
      </c>
      <c r="B3" s="197" t="s">
        <v>189</v>
      </c>
      <c r="C3" s="198"/>
      <c r="D3" s="391">
        <v>2014</v>
      </c>
      <c r="E3" s="392">
        <v>2015</v>
      </c>
      <c r="F3" s="393" t="s">
        <v>2</v>
      </c>
      <c r="G3" s="392">
        <v>2016</v>
      </c>
      <c r="H3" s="393" t="s">
        <v>2</v>
      </c>
      <c r="I3" s="392">
        <v>2017</v>
      </c>
      <c r="J3" s="393" t="s">
        <v>0</v>
      </c>
      <c r="K3" s="392">
        <v>2018</v>
      </c>
      <c r="L3" s="393" t="s">
        <v>0</v>
      </c>
      <c r="M3" s="392">
        <v>2019</v>
      </c>
      <c r="N3" s="393" t="s">
        <v>2</v>
      </c>
      <c r="O3" s="392">
        <v>2020</v>
      </c>
      <c r="P3" s="393" t="s">
        <v>2</v>
      </c>
      <c r="Q3" s="392">
        <v>2021</v>
      </c>
      <c r="R3" s="393" t="s">
        <v>2</v>
      </c>
      <c r="S3" s="392">
        <v>2022</v>
      </c>
      <c r="T3" s="393" t="s">
        <v>2</v>
      </c>
      <c r="U3" s="392">
        <v>2023</v>
      </c>
      <c r="V3" s="393" t="s">
        <v>2</v>
      </c>
      <c r="W3" s="392">
        <v>2024</v>
      </c>
      <c r="X3" s="393" t="s">
        <v>2</v>
      </c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44"/>
      <c r="BU3" s="12"/>
      <c r="BV3" s="12"/>
      <c r="BW3" s="12"/>
    </row>
    <row r="4" spans="1:75" s="50" customFormat="1" ht="16.2" customHeight="1" x14ac:dyDescent="0.4">
      <c r="A4" s="156">
        <f>IF(A3="","",A3+1)</f>
        <v>2</v>
      </c>
      <c r="B4" s="47" t="s">
        <v>185</v>
      </c>
      <c r="C4" s="48" t="s">
        <v>215</v>
      </c>
      <c r="D4" s="641">
        <v>13.058</v>
      </c>
      <c r="E4" s="394">
        <v>14.996</v>
      </c>
      <c r="F4" s="395">
        <f>E4/D4-1</f>
        <v>0.14841476489508354</v>
      </c>
      <c r="G4" s="394">
        <v>27.242999999999999</v>
      </c>
      <c r="H4" s="395">
        <f>G4/E4-1</f>
        <v>0.81668444918644956</v>
      </c>
      <c r="I4" s="394">
        <v>34.870000000000005</v>
      </c>
      <c r="J4" s="395">
        <f>I4/G4-1</f>
        <v>0.27996182505597789</v>
      </c>
      <c r="K4" s="394">
        <v>47.481999999999999</v>
      </c>
      <c r="L4" s="395">
        <f>K4/I4-1</f>
        <v>0.36168626326355002</v>
      </c>
      <c r="M4" s="394">
        <v>81.132999999999996</v>
      </c>
      <c r="N4" s="395">
        <f>M4/K4-1</f>
        <v>0.70871066930626325</v>
      </c>
      <c r="O4" s="394">
        <v>76.460999999999999</v>
      </c>
      <c r="P4" s="395">
        <f>O4/M4-1</f>
        <v>-5.7584460084059486E-2</v>
      </c>
      <c r="Q4" s="394">
        <v>100.596</v>
      </c>
      <c r="R4" s="395">
        <f t="shared" ref="R4" si="0">Q4/O4-1</f>
        <v>0.31565111625534592</v>
      </c>
      <c r="S4" s="394">
        <v>141.80000000000001</v>
      </c>
      <c r="T4" s="395">
        <f t="shared" ref="T4:T5" si="1">S4/Q4-1</f>
        <v>0.40959879120442166</v>
      </c>
      <c r="U4" s="394">
        <v>180.12299999999999</v>
      </c>
      <c r="V4" s="395">
        <f>U4/S4-1</f>
        <v>0.27026093088857528</v>
      </c>
      <c r="W4" s="394">
        <v>242.93783225300001</v>
      </c>
      <c r="X4" s="395">
        <f>W4/U4-1</f>
        <v>0.34873298941834197</v>
      </c>
      <c r="Y4" s="642"/>
      <c r="Z4" s="118"/>
      <c r="AA4" s="52"/>
      <c r="AB4" s="52"/>
      <c r="AC4" s="52"/>
      <c r="AD4" s="118"/>
      <c r="AE4" s="52"/>
      <c r="AF4" s="52"/>
      <c r="AG4" s="118"/>
      <c r="AH4" s="52"/>
      <c r="AI4" s="52"/>
      <c r="AJ4" s="118"/>
      <c r="AK4" s="52"/>
      <c r="AL4" s="52"/>
      <c r="AM4" s="118"/>
      <c r="AN4" s="52"/>
      <c r="AO4" s="52"/>
      <c r="AP4" s="118"/>
      <c r="AQ4" s="52"/>
      <c r="AR4" s="52"/>
      <c r="AS4" s="118"/>
      <c r="AT4" s="52"/>
      <c r="AU4" s="52"/>
      <c r="AV4" s="118"/>
      <c r="AW4" s="52"/>
      <c r="AX4" s="52"/>
      <c r="AY4" s="118"/>
      <c r="AZ4" s="52"/>
      <c r="BA4" s="52"/>
      <c r="BB4" s="118"/>
      <c r="BC4" s="52"/>
      <c r="BD4" s="52"/>
      <c r="BE4" s="118"/>
      <c r="BF4" s="52"/>
      <c r="BG4" s="52"/>
      <c r="BH4" s="118"/>
      <c r="BI4" s="52"/>
      <c r="BJ4" s="52"/>
      <c r="BK4" s="118"/>
      <c r="BL4" s="52"/>
      <c r="BM4" s="52"/>
      <c r="BN4" s="118"/>
      <c r="BO4" s="52"/>
      <c r="BP4" s="52"/>
      <c r="BQ4" s="118"/>
      <c r="BR4" s="52"/>
      <c r="BS4" s="52"/>
      <c r="BT4" s="49"/>
      <c r="BV4" s="51"/>
      <c r="BW4" s="52"/>
    </row>
    <row r="5" spans="1:75" s="58" customFormat="1" ht="16.2" customHeight="1" x14ac:dyDescent="0.4">
      <c r="A5" s="156">
        <f t="shared" ref="A5:A24" si="2">IF(A4="","",A4+1)</f>
        <v>3</v>
      </c>
      <c r="B5" s="53" t="s">
        <v>190</v>
      </c>
      <c r="C5" s="54" t="s">
        <v>63</v>
      </c>
      <c r="D5" s="643">
        <v>-4.3470000000000004</v>
      </c>
      <c r="E5" s="644">
        <v>-3.706</v>
      </c>
      <c r="F5" s="396">
        <f>E5/D5-1</f>
        <v>-0.14745801702323447</v>
      </c>
      <c r="G5" s="644">
        <v>-8.6489999999999991</v>
      </c>
      <c r="H5" s="396">
        <f>G5/E5-1</f>
        <v>1.3337830545062062</v>
      </c>
      <c r="I5" s="644">
        <v>-10.7</v>
      </c>
      <c r="J5" s="396">
        <f>I5/G5-1</f>
        <v>0.23713724129957225</v>
      </c>
      <c r="K5" s="644">
        <v>-12.734</v>
      </c>
      <c r="L5" s="396">
        <f>K5/I5-1</f>
        <v>0.19009345794392529</v>
      </c>
      <c r="M5" s="644">
        <v>-17.228000000000002</v>
      </c>
      <c r="N5" s="396">
        <f>M5/K5-1</f>
        <v>0.35291346002827084</v>
      </c>
      <c r="O5" s="644">
        <v>-15.500999999999999</v>
      </c>
      <c r="P5" s="396">
        <f>O5/M5-1</f>
        <v>-0.10024378918040411</v>
      </c>
      <c r="Q5" s="644">
        <v>-22.744</v>
      </c>
      <c r="R5" s="396">
        <f>Q5/O5-1</f>
        <v>0.46726017676278953</v>
      </c>
      <c r="S5" s="644">
        <v>-33.634999999999998</v>
      </c>
      <c r="T5" s="396">
        <f t="shared" si="1"/>
        <v>0.47885156524797745</v>
      </c>
      <c r="U5" s="397">
        <v>-39.674000000000007</v>
      </c>
      <c r="V5" s="396">
        <f>U5/S5-1</f>
        <v>0.17954511669392037</v>
      </c>
      <c r="W5" s="397">
        <v>-51.811629616000005</v>
      </c>
      <c r="X5" s="396">
        <f>W5/U5-1</f>
        <v>0.30593410334223914</v>
      </c>
      <c r="Y5" s="642"/>
      <c r="Z5" s="119"/>
      <c r="AA5" s="55"/>
      <c r="AB5" s="55"/>
      <c r="AC5" s="55"/>
      <c r="AD5" s="119"/>
      <c r="AE5" s="55"/>
      <c r="AF5" s="55"/>
      <c r="AG5" s="119"/>
      <c r="AH5" s="55"/>
      <c r="AI5" s="55"/>
      <c r="AJ5" s="119"/>
      <c r="AK5" s="55"/>
      <c r="AL5" s="55"/>
      <c r="AM5" s="119"/>
      <c r="AN5" s="55"/>
      <c r="AO5" s="55"/>
      <c r="AP5" s="119"/>
      <c r="AQ5" s="55"/>
      <c r="AR5" s="55"/>
      <c r="AS5" s="119"/>
      <c r="AT5" s="55"/>
      <c r="AU5" s="55"/>
      <c r="AV5" s="119"/>
      <c r="AW5" s="55"/>
      <c r="AX5" s="55"/>
      <c r="AY5" s="119"/>
      <c r="AZ5" s="55"/>
      <c r="BA5" s="55"/>
      <c r="BB5" s="119"/>
      <c r="BC5" s="55"/>
      <c r="BD5" s="55"/>
      <c r="BE5" s="119"/>
      <c r="BF5" s="55"/>
      <c r="BG5" s="55"/>
      <c r="BH5" s="119"/>
      <c r="BI5" s="55"/>
      <c r="BJ5" s="55"/>
      <c r="BK5" s="119"/>
      <c r="BL5" s="55"/>
      <c r="BM5" s="55"/>
      <c r="BN5" s="119"/>
      <c r="BO5" s="55"/>
      <c r="BP5" s="55"/>
      <c r="BQ5" s="119"/>
      <c r="BR5" s="55"/>
      <c r="BS5" s="55"/>
      <c r="BT5" s="56"/>
      <c r="BU5" s="56"/>
      <c r="BV5" s="57"/>
      <c r="BW5" s="55"/>
    </row>
    <row r="6" spans="1:75" s="58" customFormat="1" ht="16.2" customHeight="1" x14ac:dyDescent="0.4">
      <c r="A6" s="156">
        <f t="shared" si="2"/>
        <v>4</v>
      </c>
      <c r="B6" s="59" t="s">
        <v>80</v>
      </c>
      <c r="C6" s="60" t="s">
        <v>125</v>
      </c>
      <c r="D6" s="645">
        <v>0.33289937203247055</v>
      </c>
      <c r="E6" s="398">
        <v>0.24713256868498265</v>
      </c>
      <c r="F6" s="396"/>
      <c r="G6" s="398">
        <f>IFERROR(G5/(-G$4),)</f>
        <v>0.31747604889329367</v>
      </c>
      <c r="H6" s="396"/>
      <c r="I6" s="398">
        <f>IFERROR(I5/(-I$4),)</f>
        <v>0.30685402925150551</v>
      </c>
      <c r="J6" s="396"/>
      <c r="K6" s="398">
        <f>IFERROR(K5/(-K$4),)</f>
        <v>0.26818583884419361</v>
      </c>
      <c r="L6" s="396"/>
      <c r="M6" s="398">
        <f>IFERROR(M5/(-M$4),)</f>
        <v>0.21234269655996946</v>
      </c>
      <c r="N6" s="396"/>
      <c r="O6" s="398">
        <f>IFERROR(O5/(-O$4),)</f>
        <v>0.20273080393926315</v>
      </c>
      <c r="P6" s="396"/>
      <c r="Q6" s="398">
        <v>0.22609248876694898</v>
      </c>
      <c r="R6" s="396"/>
      <c r="S6" s="398">
        <v>0.23720028208744706</v>
      </c>
      <c r="T6" s="396"/>
      <c r="U6" s="398">
        <v>0.22026059970131526</v>
      </c>
      <c r="V6" s="396"/>
      <c r="W6" s="398">
        <v>0.21327114486656984</v>
      </c>
      <c r="X6" s="396"/>
      <c r="Y6" s="642"/>
      <c r="Z6" s="120"/>
      <c r="AA6" s="55"/>
      <c r="AB6" s="55"/>
      <c r="AC6" s="55"/>
      <c r="AD6" s="120"/>
      <c r="AE6" s="55"/>
      <c r="AF6" s="55"/>
      <c r="AG6" s="120"/>
      <c r="AH6" s="55"/>
      <c r="AI6" s="55"/>
      <c r="AJ6" s="120"/>
      <c r="AK6" s="55"/>
      <c r="AL6" s="55"/>
      <c r="AM6" s="120"/>
      <c r="AN6" s="55"/>
      <c r="AO6" s="55"/>
      <c r="AP6" s="120"/>
      <c r="AQ6" s="55"/>
      <c r="AR6" s="55"/>
      <c r="AS6" s="120"/>
      <c r="AT6" s="55"/>
      <c r="AU6" s="55"/>
      <c r="AV6" s="120"/>
      <c r="AW6" s="55"/>
      <c r="AX6" s="55"/>
      <c r="AY6" s="120"/>
      <c r="AZ6" s="55"/>
      <c r="BA6" s="55"/>
      <c r="BB6" s="120"/>
      <c r="BC6" s="55"/>
      <c r="BD6" s="55"/>
      <c r="BE6" s="120"/>
      <c r="BF6" s="55"/>
      <c r="BG6" s="55"/>
      <c r="BH6" s="120"/>
      <c r="BI6" s="55"/>
      <c r="BJ6" s="55"/>
      <c r="BK6" s="120"/>
      <c r="BL6" s="55"/>
      <c r="BM6" s="55"/>
      <c r="BN6" s="120"/>
      <c r="BO6" s="55"/>
      <c r="BP6" s="55"/>
      <c r="BQ6" s="120"/>
      <c r="BR6" s="55"/>
      <c r="BS6" s="55"/>
      <c r="BT6" s="56"/>
      <c r="BU6" s="56"/>
      <c r="BV6" s="57"/>
      <c r="BW6" s="55"/>
    </row>
    <row r="7" spans="1:75" s="21" customFormat="1" ht="16.2" customHeight="1" x14ac:dyDescent="0.4">
      <c r="A7" s="156">
        <f t="shared" si="2"/>
        <v>5</v>
      </c>
      <c r="B7" s="61" t="s">
        <v>191</v>
      </c>
      <c r="C7" s="62" t="s">
        <v>347</v>
      </c>
      <c r="D7" s="646">
        <v>8.7110000000000003</v>
      </c>
      <c r="E7" s="399">
        <v>11.291</v>
      </c>
      <c r="F7" s="395">
        <f>E7/D7-1</f>
        <v>0.2961772471587647</v>
      </c>
      <c r="G7" s="399">
        <v>18.594000000000001</v>
      </c>
      <c r="H7" s="395">
        <f>G7/E7-1</f>
        <v>0.64679833495704542</v>
      </c>
      <c r="I7" s="399">
        <v>24.16</v>
      </c>
      <c r="J7" s="395">
        <f>I7/G7-1</f>
        <v>0.29934387436807564</v>
      </c>
      <c r="K7" s="399">
        <v>34.747999999999998</v>
      </c>
      <c r="L7" s="395">
        <f>K7/I7-1</f>
        <v>0.43824503311258267</v>
      </c>
      <c r="M7" s="399">
        <v>63.905000000000001</v>
      </c>
      <c r="N7" s="395">
        <f>M7/K7-1</f>
        <v>0.83909865315989429</v>
      </c>
      <c r="O7" s="399">
        <v>60.96</v>
      </c>
      <c r="P7" s="395">
        <f>O7/M7-1</f>
        <v>-4.608403098349112E-2</v>
      </c>
      <c r="Q7" s="399">
        <v>77.852000000000004</v>
      </c>
      <c r="R7" s="395">
        <f>Q7/O7-1</f>
        <v>0.27709973753280837</v>
      </c>
      <c r="S7" s="399">
        <v>108.16499999999999</v>
      </c>
      <c r="T7" s="395">
        <f t="shared" ref="T7" si="3">S7/Q7-1</f>
        <v>0.38936700405898361</v>
      </c>
      <c r="U7" s="399">
        <v>140.44900000000001</v>
      </c>
      <c r="V7" s="395">
        <f>U7/S7-1</f>
        <v>0.29846993019923285</v>
      </c>
      <c r="W7" s="399">
        <v>191.12620263700001</v>
      </c>
      <c r="X7" s="395">
        <f>W7/U7-1</f>
        <v>0.36082280854260262</v>
      </c>
      <c r="Y7" s="642"/>
      <c r="Z7" s="121"/>
      <c r="AA7" s="52"/>
      <c r="AB7" s="52"/>
      <c r="AC7" s="52"/>
      <c r="AD7" s="121"/>
      <c r="AE7" s="52"/>
      <c r="AF7" s="52"/>
      <c r="AG7" s="121"/>
      <c r="AH7" s="52"/>
      <c r="AI7" s="52"/>
      <c r="AJ7" s="121"/>
      <c r="AK7" s="52"/>
      <c r="AL7" s="52"/>
      <c r="AM7" s="121"/>
      <c r="AN7" s="52"/>
      <c r="AO7" s="52"/>
      <c r="AP7" s="121"/>
      <c r="AQ7" s="52"/>
      <c r="AR7" s="52"/>
      <c r="AS7" s="121"/>
      <c r="AT7" s="52"/>
      <c r="AU7" s="52"/>
      <c r="AV7" s="121"/>
      <c r="AW7" s="52"/>
      <c r="AX7" s="52"/>
      <c r="AY7" s="121"/>
      <c r="AZ7" s="52"/>
      <c r="BA7" s="52"/>
      <c r="BB7" s="121"/>
      <c r="BC7" s="52"/>
      <c r="BD7" s="52"/>
      <c r="BE7" s="121"/>
      <c r="BF7" s="52"/>
      <c r="BG7" s="52"/>
      <c r="BH7" s="121"/>
      <c r="BI7" s="52"/>
      <c r="BJ7" s="52"/>
      <c r="BK7" s="121"/>
      <c r="BL7" s="52"/>
      <c r="BM7" s="52"/>
      <c r="BN7" s="121"/>
      <c r="BO7" s="52"/>
      <c r="BP7" s="52"/>
      <c r="BQ7" s="121"/>
      <c r="BR7" s="52"/>
      <c r="BS7" s="52"/>
      <c r="BT7" s="63"/>
      <c r="BU7" s="64"/>
      <c r="BV7" s="57"/>
      <c r="BW7" s="52"/>
    </row>
    <row r="8" spans="1:75" s="68" customFormat="1" ht="16.2" customHeight="1" x14ac:dyDescent="0.4">
      <c r="A8" s="156">
        <f t="shared" si="2"/>
        <v>6</v>
      </c>
      <c r="B8" s="199" t="s">
        <v>80</v>
      </c>
      <c r="C8" s="200" t="s">
        <v>80</v>
      </c>
      <c r="D8" s="647">
        <v>0.66710062796752956</v>
      </c>
      <c r="E8" s="400">
        <v>0.75293411576420377</v>
      </c>
      <c r="F8" s="401"/>
      <c r="G8" s="400">
        <f>G7/G$4</f>
        <v>0.68252395110670638</v>
      </c>
      <c r="H8" s="401"/>
      <c r="I8" s="400">
        <f>I7/I$4</f>
        <v>0.6928591912819041</v>
      </c>
      <c r="J8" s="401"/>
      <c r="K8" s="400">
        <f>K7/K$4</f>
        <v>0.73181416115580633</v>
      </c>
      <c r="L8" s="401"/>
      <c r="M8" s="400">
        <f>M7/M$4</f>
        <v>0.7876573034400306</v>
      </c>
      <c r="N8" s="401"/>
      <c r="O8" s="400">
        <f>O7/O$4</f>
        <v>0.79726919606073687</v>
      </c>
      <c r="P8" s="401"/>
      <c r="Q8" s="400">
        <v>0.77390751123305102</v>
      </c>
      <c r="R8" s="401"/>
      <c r="S8" s="400">
        <v>0.76279971791255274</v>
      </c>
      <c r="T8" s="401"/>
      <c r="U8" s="400">
        <v>0.77973940029868494</v>
      </c>
      <c r="V8" s="401"/>
      <c r="W8" s="400">
        <v>0.78672885513343016</v>
      </c>
      <c r="X8" s="401"/>
      <c r="Y8" s="642"/>
      <c r="Z8" s="123"/>
      <c r="AA8" s="122"/>
      <c r="AB8" s="122"/>
      <c r="AC8" s="122"/>
      <c r="AD8" s="123"/>
      <c r="AE8" s="122"/>
      <c r="AF8" s="122"/>
      <c r="AG8" s="123"/>
      <c r="AH8" s="122"/>
      <c r="AI8" s="122"/>
      <c r="AJ8" s="123"/>
      <c r="AK8" s="122"/>
      <c r="AL8" s="122"/>
      <c r="AM8" s="123"/>
      <c r="AN8" s="122"/>
      <c r="AO8" s="122"/>
      <c r="AP8" s="123"/>
      <c r="AQ8" s="122"/>
      <c r="AR8" s="122"/>
      <c r="AS8" s="123"/>
      <c r="AT8" s="122"/>
      <c r="AU8" s="122"/>
      <c r="AV8" s="123"/>
      <c r="AW8" s="122"/>
      <c r="AX8" s="122"/>
      <c r="AY8" s="123"/>
      <c r="AZ8" s="122"/>
      <c r="BA8" s="122"/>
      <c r="BB8" s="123"/>
      <c r="BC8" s="122"/>
      <c r="BD8" s="122"/>
      <c r="BE8" s="123"/>
      <c r="BF8" s="122"/>
      <c r="BG8" s="122"/>
      <c r="BH8" s="123"/>
      <c r="BI8" s="122"/>
      <c r="BJ8" s="122"/>
      <c r="BK8" s="123"/>
      <c r="BL8" s="122"/>
      <c r="BM8" s="122"/>
      <c r="BN8" s="123"/>
      <c r="BO8" s="122"/>
      <c r="BP8" s="122"/>
      <c r="BQ8" s="123"/>
      <c r="BR8" s="122"/>
      <c r="BS8" s="122"/>
      <c r="BT8" s="65"/>
      <c r="BU8" s="66"/>
      <c r="BV8" s="57"/>
      <c r="BW8" s="67"/>
    </row>
    <row r="9" spans="1:75" s="71" customFormat="1" ht="16.2" customHeight="1" x14ac:dyDescent="0.4">
      <c r="A9" s="156">
        <f t="shared" si="2"/>
        <v>7</v>
      </c>
      <c r="B9" s="69" t="s">
        <v>192</v>
      </c>
      <c r="C9" s="70" t="s">
        <v>4</v>
      </c>
      <c r="D9" s="648">
        <v>-6.0730000000000004</v>
      </c>
      <c r="E9" s="649">
        <v>-7.3140000000000001</v>
      </c>
      <c r="F9" s="396">
        <f>E9/D9-1</f>
        <v>0.2043471101597234</v>
      </c>
      <c r="G9" s="649">
        <v>-10.329000000000001</v>
      </c>
      <c r="H9" s="396">
        <f>G9/E9-1</f>
        <v>0.41222313371616082</v>
      </c>
      <c r="I9" s="649">
        <v>-13.370000000000001</v>
      </c>
      <c r="J9" s="396">
        <f>I9/G9-1</f>
        <v>0.2944137864265659</v>
      </c>
      <c r="K9" s="649">
        <v>-17.271000000000001</v>
      </c>
      <c r="L9" s="396">
        <f>K9/I9-1</f>
        <v>0.29177262528047865</v>
      </c>
      <c r="M9" s="649">
        <v>-22.195</v>
      </c>
      <c r="N9" s="396">
        <f>M9/K9-1</f>
        <v>0.2851021944299692</v>
      </c>
      <c r="O9" s="649">
        <v>-20.350000000000001</v>
      </c>
      <c r="P9" s="396">
        <f>O9/M9-1</f>
        <v>-8.3126830367199811E-2</v>
      </c>
      <c r="Q9" s="649">
        <v>-26.138999999999999</v>
      </c>
      <c r="R9" s="396">
        <f>Q9/O9-1</f>
        <v>0.28447174447174439</v>
      </c>
      <c r="S9" s="649">
        <v>-39.287999999999997</v>
      </c>
      <c r="T9" s="396">
        <f t="shared" ref="T9" si="4">S9/Q9-1</f>
        <v>0.50304143234247678</v>
      </c>
      <c r="U9" s="402">
        <v>-50.826000000000001</v>
      </c>
      <c r="V9" s="396">
        <f>U9/S9-1</f>
        <v>0.29367745876603557</v>
      </c>
      <c r="W9" s="402">
        <v>-68.684887671000013</v>
      </c>
      <c r="X9" s="396">
        <f>W9/U9-1</f>
        <v>0.35137307029866638</v>
      </c>
      <c r="Y9" s="642"/>
      <c r="Z9" s="124"/>
      <c r="AA9" s="55"/>
      <c r="AB9" s="55"/>
      <c r="AC9" s="55"/>
      <c r="AD9" s="124"/>
      <c r="AE9" s="55"/>
      <c r="AF9" s="55"/>
      <c r="AG9" s="124"/>
      <c r="AH9" s="55"/>
      <c r="AI9" s="55"/>
      <c r="AJ9" s="124"/>
      <c r="AK9" s="55"/>
      <c r="AL9" s="55"/>
      <c r="AM9" s="124"/>
      <c r="AN9" s="55"/>
      <c r="AO9" s="55"/>
      <c r="AP9" s="124"/>
      <c r="AQ9" s="55"/>
      <c r="AR9" s="55"/>
      <c r="AS9" s="124"/>
      <c r="AT9" s="55"/>
      <c r="AU9" s="55"/>
      <c r="AV9" s="124"/>
      <c r="AW9" s="55"/>
      <c r="AX9" s="55"/>
      <c r="AY9" s="124"/>
      <c r="AZ9" s="55"/>
      <c r="BA9" s="55"/>
      <c r="BB9" s="124"/>
      <c r="BC9" s="55"/>
      <c r="BD9" s="55"/>
      <c r="BE9" s="124"/>
      <c r="BF9" s="55"/>
      <c r="BG9" s="55"/>
      <c r="BH9" s="124"/>
      <c r="BI9" s="55"/>
      <c r="BJ9" s="55"/>
      <c r="BK9" s="124"/>
      <c r="BL9" s="55"/>
      <c r="BM9" s="55"/>
      <c r="BN9" s="124"/>
      <c r="BO9" s="55"/>
      <c r="BP9" s="55"/>
      <c r="BQ9" s="124"/>
      <c r="BR9" s="55"/>
      <c r="BS9" s="55"/>
      <c r="BT9" s="56"/>
      <c r="BU9" s="56"/>
      <c r="BV9" s="51"/>
      <c r="BW9" s="55"/>
    </row>
    <row r="10" spans="1:75" s="71" customFormat="1" ht="16.2" customHeight="1" x14ac:dyDescent="0.4">
      <c r="A10" s="156">
        <f t="shared" si="2"/>
        <v>8</v>
      </c>
      <c r="B10" s="59" t="s">
        <v>80</v>
      </c>
      <c r="C10" s="60" t="s">
        <v>125</v>
      </c>
      <c r="D10" s="645">
        <v>0.46507887884821569</v>
      </c>
      <c r="E10" s="398">
        <v>0.48773006134969327</v>
      </c>
      <c r="F10" s="396"/>
      <c r="G10" s="398">
        <f>IFERROR(G9/(-G$4),)</f>
        <v>0.37914326616011457</v>
      </c>
      <c r="H10" s="396"/>
      <c r="I10" s="398">
        <f>IFERROR(I9/(-I$4),)</f>
        <v>0.38342414683108689</v>
      </c>
      <c r="J10" s="396"/>
      <c r="K10" s="398">
        <f>IFERROR(K9/(-K$4),)</f>
        <v>0.36373783749631444</v>
      </c>
      <c r="L10" s="396"/>
      <c r="M10" s="398">
        <f>IFERROR(M9/(-M$4),)</f>
        <v>0.27356316172211065</v>
      </c>
      <c r="N10" s="396"/>
      <c r="O10" s="398">
        <f>IFERROR(O9/(-O$4),)</f>
        <v>0.26614875557473749</v>
      </c>
      <c r="P10" s="396"/>
      <c r="Q10" s="398">
        <v>0.25984134558034117</v>
      </c>
      <c r="R10" s="396"/>
      <c r="S10" s="398">
        <v>0.27706629055007048</v>
      </c>
      <c r="T10" s="396"/>
      <c r="U10" s="398">
        <v>0.28217384787062177</v>
      </c>
      <c r="V10" s="396"/>
      <c r="W10" s="398">
        <v>0.28272618979933223</v>
      </c>
      <c r="X10" s="396"/>
      <c r="Y10" s="642"/>
      <c r="Z10" s="120"/>
      <c r="AA10" s="55"/>
      <c r="AB10" s="55"/>
      <c r="AC10" s="55"/>
      <c r="AD10" s="120"/>
      <c r="AE10" s="55"/>
      <c r="AF10" s="55"/>
      <c r="AG10" s="120"/>
      <c r="AH10" s="55"/>
      <c r="AI10" s="55"/>
      <c r="AJ10" s="120"/>
      <c r="AK10" s="55"/>
      <c r="AL10" s="55"/>
      <c r="AM10" s="120"/>
      <c r="AN10" s="55"/>
      <c r="AO10" s="55"/>
      <c r="AP10" s="120"/>
      <c r="AQ10" s="55"/>
      <c r="AR10" s="55"/>
      <c r="AS10" s="120"/>
      <c r="AT10" s="55"/>
      <c r="AU10" s="55"/>
      <c r="AV10" s="120"/>
      <c r="AW10" s="55"/>
      <c r="AX10" s="55"/>
      <c r="AY10" s="120"/>
      <c r="AZ10" s="55"/>
      <c r="BA10" s="55"/>
      <c r="BB10" s="120"/>
      <c r="BC10" s="55"/>
      <c r="BD10" s="55"/>
      <c r="BE10" s="120"/>
      <c r="BF10" s="55"/>
      <c r="BG10" s="55"/>
      <c r="BH10" s="120"/>
      <c r="BI10" s="55"/>
      <c r="BJ10" s="55"/>
      <c r="BK10" s="120"/>
      <c r="BL10" s="55"/>
      <c r="BM10" s="55"/>
      <c r="BN10" s="120"/>
      <c r="BO10" s="55"/>
      <c r="BP10" s="55"/>
      <c r="BQ10" s="120"/>
      <c r="BR10" s="55"/>
      <c r="BS10" s="55"/>
      <c r="BT10" s="56"/>
      <c r="BU10" s="56"/>
      <c r="BV10" s="51"/>
      <c r="BW10" s="55"/>
    </row>
    <row r="11" spans="1:75" s="50" customFormat="1" ht="16.2" customHeight="1" x14ac:dyDescent="0.4">
      <c r="A11" s="156">
        <f t="shared" si="2"/>
        <v>9</v>
      </c>
      <c r="B11" s="47" t="s">
        <v>193</v>
      </c>
      <c r="C11" s="48" t="s">
        <v>348</v>
      </c>
      <c r="D11" s="641">
        <v>2.6379999999999999</v>
      </c>
      <c r="E11" s="394">
        <v>3.9769999999999999</v>
      </c>
      <c r="F11" s="395">
        <f>E11/D11-1</f>
        <v>0.50758150113722511</v>
      </c>
      <c r="G11" s="394">
        <v>8.2650000000000006</v>
      </c>
      <c r="H11" s="395">
        <f>G11/E11-1</f>
        <v>1.0781996479758615</v>
      </c>
      <c r="I11" s="394">
        <v>10.799999999999999</v>
      </c>
      <c r="J11" s="395">
        <f>I11/G11-1</f>
        <v>0.30671506352087086</v>
      </c>
      <c r="K11" s="394">
        <v>17.475999999999999</v>
      </c>
      <c r="L11" s="395">
        <f>K11/I11-1</f>
        <v>0.61814814814814811</v>
      </c>
      <c r="M11" s="394">
        <v>41.709000000000003</v>
      </c>
      <c r="N11" s="395">
        <f>M11/K11-1</f>
        <v>1.3866445410849169</v>
      </c>
      <c r="O11" s="394">
        <v>40.61</v>
      </c>
      <c r="P11" s="395">
        <f>O11/M11-1</f>
        <v>-2.6349229183149969E-2</v>
      </c>
      <c r="Q11" s="394">
        <v>51.713000000000001</v>
      </c>
      <c r="R11" s="395">
        <f>Q11/O11-1</f>
        <v>0.27340556513174108</v>
      </c>
      <c r="S11" s="394">
        <v>68.876999999999995</v>
      </c>
      <c r="T11" s="395">
        <f t="shared" ref="T11" si="5">S11/Q11-1</f>
        <v>0.33190880436253933</v>
      </c>
      <c r="U11" s="394">
        <v>89.623000000000005</v>
      </c>
      <c r="V11" s="395">
        <f>U11/S11-1</f>
        <v>0.30120359481394376</v>
      </c>
      <c r="W11" s="394">
        <v>122.44131496599999</v>
      </c>
      <c r="X11" s="395">
        <f>W11/U11-1</f>
        <v>0.36618183910380142</v>
      </c>
      <c r="Y11" s="642"/>
      <c r="Z11" s="118"/>
      <c r="AA11" s="52"/>
      <c r="AB11" s="52"/>
      <c r="AC11" s="52"/>
      <c r="AD11" s="118"/>
      <c r="AE11" s="52"/>
      <c r="AF11" s="52"/>
      <c r="AG11" s="118"/>
      <c r="AH11" s="52"/>
      <c r="AI11" s="52"/>
      <c r="AJ11" s="118"/>
      <c r="AK11" s="52"/>
      <c r="AL11" s="52"/>
      <c r="AM11" s="118"/>
      <c r="AN11" s="52"/>
      <c r="AO11" s="52"/>
      <c r="AP11" s="118"/>
      <c r="AQ11" s="52"/>
      <c r="AR11" s="52"/>
      <c r="AS11" s="118"/>
      <c r="AT11" s="52"/>
      <c r="AU11" s="52"/>
      <c r="AV11" s="118"/>
      <c r="AW11" s="52"/>
      <c r="AX11" s="52"/>
      <c r="AY11" s="118"/>
      <c r="AZ11" s="52"/>
      <c r="BA11" s="52"/>
      <c r="BB11" s="118"/>
      <c r="BC11" s="52"/>
      <c r="BD11" s="52"/>
      <c r="BE11" s="118"/>
      <c r="BF11" s="52"/>
      <c r="BG11" s="52"/>
      <c r="BH11" s="118"/>
      <c r="BI11" s="52"/>
      <c r="BJ11" s="52"/>
      <c r="BK11" s="118"/>
      <c r="BL11" s="52"/>
      <c r="BM11" s="52"/>
      <c r="BN11" s="118"/>
      <c r="BO11" s="52"/>
      <c r="BP11" s="52"/>
      <c r="BQ11" s="118"/>
      <c r="BR11" s="52"/>
      <c r="BS11" s="52"/>
      <c r="BT11" s="49"/>
      <c r="BV11" s="57"/>
      <c r="BW11" s="52"/>
    </row>
    <row r="12" spans="1:75" s="50" customFormat="1" ht="16.2" customHeight="1" x14ac:dyDescent="0.4">
      <c r="A12" s="156">
        <f t="shared" si="2"/>
        <v>10</v>
      </c>
      <c r="B12" s="199" t="s">
        <v>80</v>
      </c>
      <c r="C12" s="200" t="s">
        <v>80</v>
      </c>
      <c r="D12" s="647">
        <v>0.20202174911931384</v>
      </c>
      <c r="E12" s="400">
        <v>0.2652040544145105</v>
      </c>
      <c r="F12" s="401"/>
      <c r="G12" s="400">
        <f>G11/G$4</f>
        <v>0.30338068494659182</v>
      </c>
      <c r="H12" s="401"/>
      <c r="I12" s="400">
        <f>I11/I$4</f>
        <v>0.30972182391740744</v>
      </c>
      <c r="J12" s="401"/>
      <c r="K12" s="400">
        <f>K11/K$4</f>
        <v>0.36805526304704939</v>
      </c>
      <c r="L12" s="401"/>
      <c r="M12" s="400">
        <f>M11/M$4</f>
        <v>0.51408181627697735</v>
      </c>
      <c r="N12" s="401"/>
      <c r="O12" s="400">
        <f>O11/O$4</f>
        <v>0.53112044048599938</v>
      </c>
      <c r="P12" s="401"/>
      <c r="Q12" s="400">
        <v>0.51406616565270979</v>
      </c>
      <c r="R12" s="401"/>
      <c r="S12" s="400">
        <v>0.48573342736248232</v>
      </c>
      <c r="T12" s="401"/>
      <c r="U12" s="400">
        <v>0.49756555242806311</v>
      </c>
      <c r="V12" s="401"/>
      <c r="W12" s="400">
        <v>0.50400266533409799</v>
      </c>
      <c r="X12" s="401"/>
      <c r="Y12" s="642"/>
      <c r="Z12" s="123"/>
      <c r="AA12" s="122"/>
      <c r="AB12" s="122"/>
      <c r="AC12" s="122"/>
      <c r="AD12" s="123"/>
      <c r="AE12" s="122"/>
      <c r="AF12" s="122"/>
      <c r="AG12" s="123"/>
      <c r="AH12" s="122"/>
      <c r="AI12" s="122"/>
      <c r="AJ12" s="123"/>
      <c r="AK12" s="122"/>
      <c r="AL12" s="122"/>
      <c r="AM12" s="123"/>
      <c r="AN12" s="122"/>
      <c r="AO12" s="122"/>
      <c r="AP12" s="123"/>
      <c r="AQ12" s="122"/>
      <c r="AR12" s="122"/>
      <c r="AS12" s="123"/>
      <c r="AT12" s="122"/>
      <c r="AU12" s="122"/>
      <c r="AV12" s="123"/>
      <c r="AW12" s="122"/>
      <c r="AX12" s="122"/>
      <c r="AY12" s="123"/>
      <c r="AZ12" s="122"/>
      <c r="BA12" s="122"/>
      <c r="BB12" s="123"/>
      <c r="BC12" s="122"/>
      <c r="BD12" s="122"/>
      <c r="BE12" s="123"/>
      <c r="BF12" s="122"/>
      <c r="BG12" s="122"/>
      <c r="BH12" s="123"/>
      <c r="BI12" s="122"/>
      <c r="BJ12" s="122"/>
      <c r="BK12" s="123"/>
      <c r="BL12" s="122"/>
      <c r="BM12" s="122"/>
      <c r="BN12" s="123"/>
      <c r="BO12" s="122"/>
      <c r="BP12" s="122"/>
      <c r="BQ12" s="123"/>
      <c r="BR12" s="122"/>
      <c r="BS12" s="122"/>
      <c r="BT12" s="49"/>
      <c r="BV12" s="57"/>
      <c r="BW12" s="52"/>
    </row>
    <row r="13" spans="1:75" s="518" customFormat="1" ht="16.2" customHeight="1" x14ac:dyDescent="0.4">
      <c r="A13" s="156">
        <f t="shared" si="2"/>
        <v>11</v>
      </c>
      <c r="B13" s="493" t="s">
        <v>246</v>
      </c>
      <c r="C13" s="494" t="s">
        <v>349</v>
      </c>
      <c r="D13" s="650"/>
      <c r="E13" s="514"/>
      <c r="F13" s="651"/>
      <c r="G13" s="514"/>
      <c r="H13" s="651"/>
      <c r="I13" s="514"/>
      <c r="J13" s="512"/>
      <c r="K13" s="514"/>
      <c r="L13" s="512"/>
      <c r="M13" s="514"/>
      <c r="N13" s="512"/>
      <c r="O13" s="514"/>
      <c r="P13" s="512"/>
      <c r="Q13" s="514"/>
      <c r="R13" s="512"/>
      <c r="S13" s="514"/>
      <c r="T13" s="512"/>
      <c r="U13" s="514"/>
      <c r="V13" s="512"/>
      <c r="W13" s="514">
        <v>-1.06655689</v>
      </c>
      <c r="X13" s="512"/>
      <c r="Y13" s="652"/>
      <c r="Z13" s="516"/>
      <c r="AA13" s="517"/>
      <c r="AB13" s="517"/>
      <c r="AC13" s="517"/>
      <c r="AD13" s="516"/>
      <c r="AE13" s="517"/>
      <c r="AF13" s="517"/>
      <c r="AG13" s="516"/>
      <c r="AH13" s="517"/>
      <c r="AI13" s="517"/>
      <c r="AJ13" s="516"/>
      <c r="AK13" s="517"/>
      <c r="AL13" s="517"/>
      <c r="AM13" s="516"/>
      <c r="AN13" s="517"/>
      <c r="AO13" s="517"/>
      <c r="AP13" s="516"/>
      <c r="AQ13" s="517"/>
      <c r="AR13" s="517"/>
      <c r="AS13" s="516"/>
      <c r="AT13" s="517"/>
      <c r="AU13" s="517"/>
      <c r="AV13" s="516"/>
      <c r="AW13" s="517"/>
      <c r="AX13" s="517"/>
      <c r="AY13" s="516"/>
      <c r="AZ13" s="517"/>
      <c r="BA13" s="517"/>
      <c r="BB13" s="516"/>
      <c r="BC13" s="517"/>
      <c r="BD13" s="517"/>
      <c r="BE13" s="516"/>
      <c r="BF13" s="517"/>
      <c r="BG13" s="517"/>
      <c r="BH13" s="516"/>
      <c r="BI13" s="517"/>
      <c r="BJ13" s="517"/>
      <c r="BK13" s="516"/>
      <c r="BL13" s="517"/>
      <c r="BM13" s="517"/>
      <c r="BN13" s="516"/>
      <c r="BO13" s="517"/>
      <c r="BP13" s="517"/>
      <c r="BQ13" s="516"/>
      <c r="BR13" s="517"/>
      <c r="BS13" s="517"/>
      <c r="BT13" s="511"/>
      <c r="BU13" s="511"/>
      <c r="BV13" s="510"/>
      <c r="BW13" s="517"/>
    </row>
    <row r="14" spans="1:75" s="518" customFormat="1" ht="16.2" customHeight="1" x14ac:dyDescent="0.4">
      <c r="A14" s="156">
        <f t="shared" si="2"/>
        <v>12</v>
      </c>
      <c r="B14" s="493" t="s">
        <v>194</v>
      </c>
      <c r="C14" s="494" t="s">
        <v>59</v>
      </c>
      <c r="D14" s="650" t="s">
        <v>3</v>
      </c>
      <c r="E14" s="514" t="s">
        <v>3</v>
      </c>
      <c r="F14" s="651" t="s">
        <v>3</v>
      </c>
      <c r="G14" s="514">
        <v>0.56699999999999995</v>
      </c>
      <c r="H14" s="651" t="s">
        <v>3</v>
      </c>
      <c r="I14" s="514">
        <v>0.15817905300000001</v>
      </c>
      <c r="J14" s="512">
        <f>I14/G14-1</f>
        <v>-0.72102459788359785</v>
      </c>
      <c r="K14" s="514">
        <v>0.40935940699999995</v>
      </c>
      <c r="L14" s="512">
        <f>K14/I14-1</f>
        <v>1.5879495371615349</v>
      </c>
      <c r="M14" s="514">
        <v>0.52115354799999991</v>
      </c>
      <c r="N14" s="512">
        <f>M14/K14-1</f>
        <v>0.27309532671860648</v>
      </c>
      <c r="O14" s="514">
        <v>1.2965769820000002</v>
      </c>
      <c r="P14" s="512">
        <f>O14/M14-1</f>
        <v>1.4878982153643525</v>
      </c>
      <c r="Q14" s="514">
        <v>4.20794318</v>
      </c>
      <c r="R14" s="512">
        <f>Q14/O14-1</f>
        <v>2.2454248674915931</v>
      </c>
      <c r="S14" s="514">
        <v>2.5839999999999996</v>
      </c>
      <c r="T14" s="512">
        <f t="shared" ref="T14:T20" si="6">S14/Q14-1</f>
        <v>-0.38592326714829839</v>
      </c>
      <c r="U14" s="514">
        <v>8.6590000000000007</v>
      </c>
      <c r="V14" s="512">
        <f t="shared" ref="V14:V20" si="7">U14/S14-1</f>
        <v>2.3510061919504652</v>
      </c>
      <c r="W14" s="514">
        <v>24.207351461000002</v>
      </c>
      <c r="X14" s="512">
        <f t="shared" ref="X14:X20" si="8">W14/U14-1</f>
        <v>1.7956289942256611</v>
      </c>
      <c r="Y14" s="652"/>
      <c r="Z14" s="516"/>
      <c r="AA14" s="517"/>
      <c r="AB14" s="517"/>
      <c r="AC14" s="517"/>
      <c r="AD14" s="516"/>
      <c r="AE14" s="517"/>
      <c r="AF14" s="517"/>
      <c r="AG14" s="516"/>
      <c r="AH14" s="517"/>
      <c r="AI14" s="517"/>
      <c r="AJ14" s="516"/>
      <c r="AK14" s="517"/>
      <c r="AL14" s="517"/>
      <c r="AM14" s="516"/>
      <c r="AN14" s="517"/>
      <c r="AO14" s="517"/>
      <c r="AP14" s="516"/>
      <c r="AQ14" s="517"/>
      <c r="AR14" s="517"/>
      <c r="AS14" s="516"/>
      <c r="AT14" s="517"/>
      <c r="AU14" s="517"/>
      <c r="AV14" s="516"/>
      <c r="AW14" s="517"/>
      <c r="AX14" s="517"/>
      <c r="AY14" s="516"/>
      <c r="AZ14" s="517"/>
      <c r="BA14" s="517"/>
      <c r="BB14" s="516"/>
      <c r="BC14" s="517"/>
      <c r="BD14" s="517"/>
      <c r="BE14" s="516"/>
      <c r="BF14" s="517"/>
      <c r="BG14" s="517"/>
      <c r="BH14" s="516"/>
      <c r="BI14" s="517"/>
      <c r="BJ14" s="517"/>
      <c r="BK14" s="516"/>
      <c r="BL14" s="517"/>
      <c r="BM14" s="517"/>
      <c r="BN14" s="516"/>
      <c r="BO14" s="517"/>
      <c r="BP14" s="517"/>
      <c r="BQ14" s="516"/>
      <c r="BR14" s="517"/>
      <c r="BS14" s="517"/>
      <c r="BT14" s="511"/>
      <c r="BU14" s="511"/>
      <c r="BV14" s="510"/>
      <c r="BW14" s="517"/>
    </row>
    <row r="15" spans="1:75" s="518" customFormat="1" ht="16.2" customHeight="1" x14ac:dyDescent="0.4">
      <c r="A15" s="156">
        <f t="shared" si="2"/>
        <v>13</v>
      </c>
      <c r="B15" s="493" t="s">
        <v>196</v>
      </c>
      <c r="C15" s="494" t="s">
        <v>60</v>
      </c>
      <c r="D15" s="650" t="s">
        <v>3</v>
      </c>
      <c r="E15" s="514" t="s">
        <v>3</v>
      </c>
      <c r="F15" s="651" t="s">
        <v>3</v>
      </c>
      <c r="G15" s="653">
        <v>-0.52300000000000002</v>
      </c>
      <c r="H15" s="651" t="s">
        <v>3</v>
      </c>
      <c r="I15" s="653">
        <v>-0.73628096700000012</v>
      </c>
      <c r="J15" s="512">
        <f t="shared" ref="J15:R17" si="9">I15/G15-1</f>
        <v>0.40780299617590843</v>
      </c>
      <c r="K15" s="653">
        <v>-0.56278001700000002</v>
      </c>
      <c r="L15" s="512">
        <f t="shared" si="9"/>
        <v>-0.23564502924329978</v>
      </c>
      <c r="M15" s="653">
        <v>-0.73637286099999999</v>
      </c>
      <c r="N15" s="512">
        <f t="shared" si="9"/>
        <v>0.3084559486055809</v>
      </c>
      <c r="O15" s="653">
        <v>-2.678342561</v>
      </c>
      <c r="P15" s="512">
        <f t="shared" si="9"/>
        <v>2.6372097653935676</v>
      </c>
      <c r="Q15" s="653">
        <v>-0.36970180500000005</v>
      </c>
      <c r="R15" s="512">
        <f t="shared" si="9"/>
        <v>-0.86196619865460145</v>
      </c>
      <c r="S15" s="653">
        <v>-4.673</v>
      </c>
      <c r="T15" s="512">
        <f t="shared" si="6"/>
        <v>11.639916648499996</v>
      </c>
      <c r="U15" s="515">
        <v>-3.593</v>
      </c>
      <c r="V15" s="512">
        <f t="shared" si="7"/>
        <v>-0.23111491547185958</v>
      </c>
      <c r="W15" s="515">
        <v>-4.6833013350000003</v>
      </c>
      <c r="X15" s="512">
        <f t="shared" si="8"/>
        <v>0.30345152657946017</v>
      </c>
      <c r="Y15" s="652"/>
      <c r="Z15" s="516"/>
      <c r="AA15" s="517"/>
      <c r="AB15" s="517"/>
      <c r="AC15" s="517"/>
      <c r="AD15" s="516"/>
      <c r="AE15" s="517"/>
      <c r="AF15" s="517"/>
      <c r="AG15" s="516"/>
      <c r="AH15" s="517"/>
      <c r="AI15" s="517"/>
      <c r="AJ15" s="516"/>
      <c r="AK15" s="517"/>
      <c r="AL15" s="517"/>
      <c r="AM15" s="516"/>
      <c r="AN15" s="517"/>
      <c r="AO15" s="517"/>
      <c r="AP15" s="516"/>
      <c r="AQ15" s="517"/>
      <c r="AR15" s="517"/>
      <c r="AS15" s="516"/>
      <c r="AT15" s="517"/>
      <c r="AU15" s="517"/>
      <c r="AV15" s="516"/>
      <c r="AW15" s="517"/>
      <c r="AX15" s="517"/>
      <c r="AY15" s="516"/>
      <c r="AZ15" s="517"/>
      <c r="BA15" s="517"/>
      <c r="BB15" s="516"/>
      <c r="BC15" s="517"/>
      <c r="BD15" s="517"/>
      <c r="BE15" s="516"/>
      <c r="BF15" s="517"/>
      <c r="BG15" s="517"/>
      <c r="BH15" s="516"/>
      <c r="BI15" s="517"/>
      <c r="BJ15" s="517"/>
      <c r="BK15" s="516"/>
      <c r="BL15" s="517"/>
      <c r="BM15" s="517"/>
      <c r="BN15" s="516"/>
      <c r="BO15" s="517"/>
      <c r="BP15" s="517"/>
      <c r="BQ15" s="516"/>
      <c r="BR15" s="517"/>
      <c r="BS15" s="517"/>
      <c r="BT15" s="511"/>
      <c r="BU15" s="511"/>
      <c r="BV15" s="510"/>
      <c r="BW15" s="517"/>
    </row>
    <row r="16" spans="1:75" s="518" customFormat="1" ht="16.2" customHeight="1" x14ac:dyDescent="0.4">
      <c r="A16" s="156">
        <f t="shared" si="2"/>
        <v>14</v>
      </c>
      <c r="B16" s="493" t="s">
        <v>198</v>
      </c>
      <c r="C16" s="494" t="s">
        <v>61</v>
      </c>
      <c r="D16" s="650" t="s">
        <v>3</v>
      </c>
      <c r="E16" s="514" t="s">
        <v>3</v>
      </c>
      <c r="F16" s="651" t="s">
        <v>3</v>
      </c>
      <c r="G16" s="514">
        <v>0.49199999999999999</v>
      </c>
      <c r="H16" s="651" t="s">
        <v>3</v>
      </c>
      <c r="I16" s="514">
        <v>0.43702877000000001</v>
      </c>
      <c r="J16" s="512">
        <f t="shared" si="9"/>
        <v>-0.11173014227642275</v>
      </c>
      <c r="K16" s="514">
        <v>0.510017681</v>
      </c>
      <c r="L16" s="512">
        <f t="shared" si="9"/>
        <v>0.16701168437949754</v>
      </c>
      <c r="M16" s="514">
        <v>0.25772879700000001</v>
      </c>
      <c r="N16" s="512">
        <f t="shared" si="9"/>
        <v>-0.49466693685076379</v>
      </c>
      <c r="O16" s="514">
        <v>7.5312800999999999E-2</v>
      </c>
      <c r="P16" s="512">
        <f t="shared" si="9"/>
        <v>-0.70778274730394219</v>
      </c>
      <c r="Q16" s="514">
        <v>0.21254851499999999</v>
      </c>
      <c r="R16" s="512">
        <f t="shared" si="9"/>
        <v>1.8222096665877556</v>
      </c>
      <c r="S16" s="514">
        <v>30.372</v>
      </c>
      <c r="T16" s="512">
        <f t="shared" si="6"/>
        <v>141.89443518342154</v>
      </c>
      <c r="U16" s="519">
        <v>4.8429602000000002E-2</v>
      </c>
      <c r="V16" s="512">
        <f t="shared" si="7"/>
        <v>-0.99840545232450939</v>
      </c>
      <c r="W16" s="519">
        <v>2.8579911999999999E-2</v>
      </c>
      <c r="X16" s="512">
        <f t="shared" si="8"/>
        <v>-0.40986688265577742</v>
      </c>
      <c r="Y16" s="652"/>
      <c r="Z16" s="516"/>
      <c r="AA16" s="517"/>
      <c r="AB16" s="517"/>
      <c r="AC16" s="517"/>
      <c r="AD16" s="516"/>
      <c r="AE16" s="517"/>
      <c r="AF16" s="517"/>
      <c r="AG16" s="516"/>
      <c r="AH16" s="517"/>
      <c r="AI16" s="517"/>
      <c r="AJ16" s="516"/>
      <c r="AK16" s="517"/>
      <c r="AL16" s="517"/>
      <c r="AM16" s="516"/>
      <c r="AN16" s="517"/>
      <c r="AO16" s="517"/>
      <c r="AP16" s="516"/>
      <c r="AQ16" s="517"/>
      <c r="AR16" s="517"/>
      <c r="AS16" s="516"/>
      <c r="AT16" s="517"/>
      <c r="AU16" s="517"/>
      <c r="AV16" s="516"/>
      <c r="AW16" s="517"/>
      <c r="AX16" s="517"/>
      <c r="AY16" s="516"/>
      <c r="AZ16" s="517"/>
      <c r="BA16" s="517"/>
      <c r="BB16" s="516"/>
      <c r="BC16" s="517"/>
      <c r="BD16" s="517"/>
      <c r="BE16" s="516"/>
      <c r="BF16" s="517"/>
      <c r="BG16" s="517"/>
      <c r="BH16" s="516"/>
      <c r="BI16" s="517"/>
      <c r="BJ16" s="517"/>
      <c r="BK16" s="516"/>
      <c r="BL16" s="517"/>
      <c r="BM16" s="517"/>
      <c r="BN16" s="516"/>
      <c r="BO16" s="517"/>
      <c r="BP16" s="517"/>
      <c r="BQ16" s="516"/>
      <c r="BR16" s="517"/>
      <c r="BS16" s="517"/>
      <c r="BT16" s="511"/>
      <c r="BU16" s="511"/>
      <c r="BV16" s="510"/>
      <c r="BW16" s="517"/>
    </row>
    <row r="17" spans="1:75" s="518" customFormat="1" ht="16.2" customHeight="1" x14ac:dyDescent="0.4">
      <c r="A17" s="156">
        <f t="shared" si="2"/>
        <v>15</v>
      </c>
      <c r="B17" s="493" t="s">
        <v>200</v>
      </c>
      <c r="C17" s="494" t="s">
        <v>62</v>
      </c>
      <c r="D17" s="650" t="s">
        <v>3</v>
      </c>
      <c r="E17" s="514" t="s">
        <v>3</v>
      </c>
      <c r="F17" s="651" t="s">
        <v>3</v>
      </c>
      <c r="G17" s="653">
        <v>-2.8000000000000001E-2</v>
      </c>
      <c r="H17" s="651" t="s">
        <v>3</v>
      </c>
      <c r="I17" s="653">
        <v>-13.804860925</v>
      </c>
      <c r="J17" s="512">
        <f t="shared" si="9"/>
        <v>492.03074732142858</v>
      </c>
      <c r="K17" s="653">
        <v>-4.6847659E-2</v>
      </c>
      <c r="L17" s="512">
        <f t="shared" si="9"/>
        <v>-0.99660643745311761</v>
      </c>
      <c r="M17" s="653">
        <v>-1.7484522000000002E-2</v>
      </c>
      <c r="N17" s="512">
        <f t="shared" si="9"/>
        <v>-0.62677917374697412</v>
      </c>
      <c r="O17" s="653">
        <v>-8.7485290000000014E-3</v>
      </c>
      <c r="P17" s="512">
        <f t="shared" si="9"/>
        <v>-0.49964151150371738</v>
      </c>
      <c r="Q17" s="653">
        <v>-0.151164467</v>
      </c>
      <c r="R17" s="512">
        <f t="shared" si="9"/>
        <v>16.278843906215545</v>
      </c>
      <c r="S17" s="653">
        <v>-0.40026200000000001</v>
      </c>
      <c r="T17" s="512">
        <f t="shared" si="6"/>
        <v>1.647857713810482</v>
      </c>
      <c r="U17" s="515">
        <v>-0.89400000000000002</v>
      </c>
      <c r="V17" s="512">
        <f t="shared" si="7"/>
        <v>1.2335370332432256</v>
      </c>
      <c r="W17" s="515">
        <v>-13.002104703000001</v>
      </c>
      <c r="X17" s="512">
        <f t="shared" si="8"/>
        <v>13.543741278523489</v>
      </c>
      <c r="Y17" s="652"/>
      <c r="Z17" s="516"/>
      <c r="AA17" s="517"/>
      <c r="AB17" s="517"/>
      <c r="AC17" s="517"/>
      <c r="AD17" s="516"/>
      <c r="AE17" s="517"/>
      <c r="AF17" s="517"/>
      <c r="AG17" s="516"/>
      <c r="AH17" s="517"/>
      <c r="AI17" s="517"/>
      <c r="AJ17" s="516"/>
      <c r="AK17" s="517"/>
      <c r="AL17" s="517"/>
      <c r="AM17" s="516"/>
      <c r="AN17" s="517"/>
      <c r="AO17" s="517"/>
      <c r="AP17" s="516"/>
      <c r="AQ17" s="517"/>
      <c r="AR17" s="517"/>
      <c r="AS17" s="516"/>
      <c r="AT17" s="517"/>
      <c r="AU17" s="517"/>
      <c r="AV17" s="516"/>
      <c r="AW17" s="517"/>
      <c r="AX17" s="517"/>
      <c r="AY17" s="516"/>
      <c r="AZ17" s="517"/>
      <c r="BA17" s="517"/>
      <c r="BB17" s="516"/>
      <c r="BC17" s="517"/>
      <c r="BD17" s="517"/>
      <c r="BE17" s="516"/>
      <c r="BF17" s="517"/>
      <c r="BG17" s="517"/>
      <c r="BH17" s="516"/>
      <c r="BI17" s="517"/>
      <c r="BJ17" s="517"/>
      <c r="BK17" s="516"/>
      <c r="BL17" s="517"/>
      <c r="BM17" s="517"/>
      <c r="BN17" s="516"/>
      <c r="BO17" s="517"/>
      <c r="BP17" s="517"/>
      <c r="BQ17" s="516"/>
      <c r="BR17" s="517"/>
      <c r="BS17" s="517"/>
      <c r="BT17" s="511"/>
      <c r="BU17" s="511"/>
      <c r="BV17" s="510"/>
      <c r="BW17" s="517"/>
    </row>
    <row r="18" spans="1:75" s="491" customFormat="1" ht="16.2" customHeight="1" x14ac:dyDescent="0.4">
      <c r="A18" s="156">
        <f t="shared" si="2"/>
        <v>16</v>
      </c>
      <c r="B18" s="520" t="s">
        <v>366</v>
      </c>
      <c r="C18" s="497" t="s">
        <v>350</v>
      </c>
      <c r="D18" s="654" t="s">
        <v>126</v>
      </c>
      <c r="E18" s="521" t="s">
        <v>126</v>
      </c>
      <c r="F18" s="522" t="s">
        <v>126</v>
      </c>
      <c r="G18" s="521">
        <v>8.7729999999999997</v>
      </c>
      <c r="H18" s="522" t="s">
        <v>3</v>
      </c>
      <c r="I18" s="521">
        <v>-3.1435562619999988</v>
      </c>
      <c r="J18" s="522">
        <f>(I18-G18)/G18</f>
        <v>-1.3583216986207682</v>
      </c>
      <c r="K18" s="521">
        <v>17.786239841</v>
      </c>
      <c r="L18" s="522" t="s">
        <v>367</v>
      </c>
      <c r="M18" s="521">
        <v>41.734500371000003</v>
      </c>
      <c r="N18" s="522">
        <f>M18/K18-1</f>
        <v>1.3464487572463519</v>
      </c>
      <c r="O18" s="521">
        <v>39.293367703999998</v>
      </c>
      <c r="P18" s="522">
        <f>O18/M18-1</f>
        <v>-5.8491958578621772E-2</v>
      </c>
      <c r="Q18" s="521">
        <v>55.632127194000006</v>
      </c>
      <c r="R18" s="522">
        <f>Q18/O18-1</f>
        <v>0.41581468946823685</v>
      </c>
      <c r="S18" s="521">
        <v>96.759737999999999</v>
      </c>
      <c r="T18" s="522">
        <f t="shared" si="6"/>
        <v>0.73927805533266855</v>
      </c>
      <c r="U18" s="521">
        <v>93.843429602000015</v>
      </c>
      <c r="V18" s="522">
        <f t="shared" si="7"/>
        <v>-3.0139688865217673E-2</v>
      </c>
      <c r="W18" s="521">
        <v>127.925283411</v>
      </c>
      <c r="X18" s="522">
        <f t="shared" si="8"/>
        <v>0.36317783731418118</v>
      </c>
      <c r="Y18" s="652"/>
      <c r="Z18" s="516"/>
      <c r="AA18" s="513"/>
      <c r="AB18" s="513"/>
      <c r="AC18" s="513"/>
      <c r="AD18" s="516"/>
      <c r="AE18" s="513"/>
      <c r="AF18" s="513"/>
      <c r="AG18" s="516"/>
      <c r="AH18" s="513"/>
      <c r="AI18" s="513"/>
      <c r="AJ18" s="516"/>
      <c r="AK18" s="513"/>
      <c r="AL18" s="513"/>
      <c r="AM18" s="516"/>
      <c r="AN18" s="513"/>
      <c r="AO18" s="513"/>
      <c r="AP18" s="516"/>
      <c r="AQ18" s="513"/>
      <c r="AR18" s="513"/>
      <c r="AS18" s="516"/>
      <c r="AT18" s="513"/>
      <c r="AU18" s="513"/>
      <c r="AV18" s="516"/>
      <c r="AW18" s="513"/>
      <c r="AX18" s="513"/>
      <c r="AY18" s="516"/>
      <c r="AZ18" s="513"/>
      <c r="BA18" s="513"/>
      <c r="BB18" s="516"/>
      <c r="BC18" s="513"/>
      <c r="BD18" s="513"/>
      <c r="BE18" s="516"/>
      <c r="BF18" s="513"/>
      <c r="BG18" s="513"/>
      <c r="BH18" s="516"/>
      <c r="BI18" s="513"/>
      <c r="BJ18" s="513"/>
      <c r="BK18" s="516"/>
      <c r="BL18" s="513"/>
      <c r="BM18" s="513"/>
      <c r="BN18" s="516"/>
      <c r="BO18" s="513"/>
      <c r="BP18" s="513"/>
      <c r="BQ18" s="516"/>
      <c r="BR18" s="513"/>
      <c r="BS18" s="513"/>
      <c r="BT18" s="509"/>
      <c r="BU18" s="509"/>
      <c r="BV18" s="510"/>
      <c r="BW18" s="513"/>
    </row>
    <row r="19" spans="1:75" s="518" customFormat="1" ht="16.2" customHeight="1" x14ac:dyDescent="0.4">
      <c r="A19" s="156">
        <f t="shared" si="2"/>
        <v>17</v>
      </c>
      <c r="B19" s="493" t="s">
        <v>202</v>
      </c>
      <c r="C19" s="494" t="s">
        <v>266</v>
      </c>
      <c r="D19" s="650" t="s">
        <v>3</v>
      </c>
      <c r="E19" s="514" t="s">
        <v>3</v>
      </c>
      <c r="F19" s="651" t="s">
        <v>3</v>
      </c>
      <c r="G19" s="653">
        <v>-1.7010000000000001</v>
      </c>
      <c r="H19" s="651" t="s">
        <v>3</v>
      </c>
      <c r="I19" s="653">
        <v>-1.9846675859999998</v>
      </c>
      <c r="J19" s="512"/>
      <c r="K19" s="653">
        <v>-2.9232398410000009</v>
      </c>
      <c r="L19" s="512"/>
      <c r="M19" s="653">
        <v>-8.3415003710000022</v>
      </c>
      <c r="N19" s="512"/>
      <c r="O19" s="653">
        <v>-1.1293677039999963</v>
      </c>
      <c r="P19" s="512"/>
      <c r="Q19" s="653">
        <v>-11.827451194000005</v>
      </c>
      <c r="R19" s="512"/>
      <c r="S19" s="653">
        <v>-21.380999999999997</v>
      </c>
      <c r="T19" s="512">
        <f t="shared" si="6"/>
        <v>0.80774366761677685</v>
      </c>
      <c r="U19" s="515">
        <v>-19.616000000000003</v>
      </c>
      <c r="V19" s="512">
        <f t="shared" si="7"/>
        <v>-8.2549927505729093E-2</v>
      </c>
      <c r="W19" s="515">
        <v>-30.387291503000007</v>
      </c>
      <c r="X19" s="512">
        <f t="shared" si="8"/>
        <v>0.54910743795880923</v>
      </c>
      <c r="Y19" s="652"/>
      <c r="Z19" s="516"/>
      <c r="AA19" s="517"/>
      <c r="AB19" s="517"/>
      <c r="AC19" s="517"/>
      <c r="AD19" s="516"/>
      <c r="AE19" s="517"/>
      <c r="AF19" s="517"/>
      <c r="AG19" s="516"/>
      <c r="AH19" s="517"/>
      <c r="AI19" s="517"/>
      <c r="AJ19" s="516"/>
      <c r="AK19" s="517"/>
      <c r="AL19" s="517"/>
      <c r="AM19" s="516"/>
      <c r="AN19" s="517"/>
      <c r="AO19" s="517"/>
      <c r="AP19" s="516"/>
      <c r="AQ19" s="517"/>
      <c r="AR19" s="517"/>
      <c r="AS19" s="516"/>
      <c r="AT19" s="517"/>
      <c r="AU19" s="517"/>
      <c r="AV19" s="516"/>
      <c r="AW19" s="517"/>
      <c r="AX19" s="517"/>
      <c r="AY19" s="516"/>
      <c r="AZ19" s="517"/>
      <c r="BA19" s="517"/>
      <c r="BB19" s="516"/>
      <c r="BC19" s="517"/>
      <c r="BD19" s="517"/>
      <c r="BE19" s="516"/>
      <c r="BF19" s="517"/>
      <c r="BG19" s="517"/>
      <c r="BH19" s="516"/>
      <c r="BI19" s="517"/>
      <c r="BJ19" s="517"/>
      <c r="BK19" s="516"/>
      <c r="BL19" s="517"/>
      <c r="BM19" s="517"/>
      <c r="BN19" s="516"/>
      <c r="BO19" s="517"/>
      <c r="BP19" s="517"/>
      <c r="BQ19" s="516"/>
      <c r="BR19" s="517"/>
      <c r="BS19" s="517"/>
      <c r="BT19" s="511"/>
      <c r="BU19" s="511"/>
      <c r="BV19" s="510"/>
      <c r="BW19" s="517"/>
    </row>
    <row r="20" spans="1:75" s="21" customFormat="1" ht="16.2" customHeight="1" x14ac:dyDescent="0.4">
      <c r="A20" s="156">
        <f t="shared" si="2"/>
        <v>18</v>
      </c>
      <c r="B20" s="61" t="s">
        <v>408</v>
      </c>
      <c r="C20" s="62" t="s">
        <v>409</v>
      </c>
      <c r="D20" s="646">
        <v>2.5150000000000001</v>
      </c>
      <c r="E20" s="399">
        <v>4.6890000000000001</v>
      </c>
      <c r="F20" s="395">
        <f>E20/D20-1</f>
        <v>0.86441351888667994</v>
      </c>
      <c r="G20" s="399">
        <v>7.0720000000000001</v>
      </c>
      <c r="H20" s="395">
        <f>G20/E20-1</f>
        <v>0.50821070590744299</v>
      </c>
      <c r="I20" s="399">
        <v>-5.1280000000000001</v>
      </c>
      <c r="J20" s="395">
        <f>(I20-G20)/G20</f>
        <v>-1.7251131221719456</v>
      </c>
      <c r="K20" s="399">
        <v>14.863</v>
      </c>
      <c r="L20" s="395" t="s">
        <v>367</v>
      </c>
      <c r="M20" s="399">
        <v>33.393000000000001</v>
      </c>
      <c r="N20" s="395">
        <f>M20/K20-1</f>
        <v>1.2467200430599474</v>
      </c>
      <c r="O20" s="399">
        <v>38.164000000000001</v>
      </c>
      <c r="P20" s="395">
        <f>O20/M20-1</f>
        <v>0.14287425508340079</v>
      </c>
      <c r="Q20" s="399">
        <v>43.804676000000001</v>
      </c>
      <c r="R20" s="395">
        <f>Q20/O20-1</f>
        <v>0.1478009642595115</v>
      </c>
      <c r="S20" s="399">
        <v>75.378737999999998</v>
      </c>
      <c r="T20" s="395">
        <f t="shared" si="6"/>
        <v>0.72079204512321926</v>
      </c>
      <c r="U20" s="399">
        <v>74.227429602000015</v>
      </c>
      <c r="V20" s="395">
        <f t="shared" si="7"/>
        <v>-1.5273649155548075E-2</v>
      </c>
      <c r="W20" s="399">
        <v>97.537991908000009</v>
      </c>
      <c r="X20" s="395">
        <f t="shared" si="8"/>
        <v>0.31404242920695058</v>
      </c>
      <c r="Y20" s="642"/>
      <c r="Z20" s="121"/>
      <c r="AA20" s="52"/>
      <c r="AB20" s="52"/>
      <c r="AC20" s="52"/>
      <c r="AD20" s="121"/>
      <c r="AE20" s="52"/>
      <c r="AF20" s="52"/>
      <c r="AG20" s="121"/>
      <c r="AH20" s="52"/>
      <c r="AI20" s="52"/>
      <c r="AJ20" s="121"/>
      <c r="AK20" s="52"/>
      <c r="AL20" s="52"/>
      <c r="AM20" s="121"/>
      <c r="AN20" s="52"/>
      <c r="AO20" s="52"/>
      <c r="AP20" s="121"/>
      <c r="AQ20" s="52"/>
      <c r="AR20" s="52"/>
      <c r="AS20" s="121"/>
      <c r="AT20" s="52"/>
      <c r="AU20" s="52"/>
      <c r="AV20" s="121"/>
      <c r="AW20" s="52"/>
      <c r="AX20" s="52"/>
      <c r="AY20" s="121"/>
      <c r="AZ20" s="52"/>
      <c r="BA20" s="52"/>
      <c r="BB20" s="121"/>
      <c r="BC20" s="52"/>
      <c r="BD20" s="52"/>
      <c r="BE20" s="121"/>
      <c r="BF20" s="52"/>
      <c r="BG20" s="52"/>
      <c r="BH20" s="121"/>
      <c r="BI20" s="52"/>
      <c r="BJ20" s="52"/>
      <c r="BK20" s="121"/>
      <c r="BL20" s="52"/>
      <c r="BM20" s="52"/>
      <c r="BN20" s="121"/>
      <c r="BO20" s="52"/>
      <c r="BP20" s="52"/>
      <c r="BQ20" s="121"/>
      <c r="BR20" s="52"/>
      <c r="BS20" s="52"/>
      <c r="BT20" s="63"/>
      <c r="BU20" s="64"/>
      <c r="BV20" s="57"/>
      <c r="BW20" s="52"/>
    </row>
    <row r="21" spans="1:75" s="68" customFormat="1" ht="16.2" customHeight="1" x14ac:dyDescent="0.4">
      <c r="A21" s="156">
        <f t="shared" si="2"/>
        <v>19</v>
      </c>
      <c r="B21" s="199" t="s">
        <v>125</v>
      </c>
      <c r="C21" s="200" t="s">
        <v>125</v>
      </c>
      <c r="D21" s="647">
        <v>0.19260223617705621</v>
      </c>
      <c r="E21" s="400">
        <v>0.31268338223526271</v>
      </c>
      <c r="F21" s="401"/>
      <c r="G21" s="400">
        <f>G20/G$4</f>
        <v>0.25958961935176011</v>
      </c>
      <c r="H21" s="401"/>
      <c r="I21" s="400">
        <f>I20/I$4</f>
        <v>-0.14706051046745053</v>
      </c>
      <c r="J21" s="401"/>
      <c r="K21" s="400">
        <f>K20/K$4</f>
        <v>0.31302388273450993</v>
      </c>
      <c r="L21" s="401"/>
      <c r="M21" s="400">
        <f>M20/M$4</f>
        <v>0.41158344939790226</v>
      </c>
      <c r="N21" s="401"/>
      <c r="O21" s="400">
        <f>O20/O$4</f>
        <v>0.49913027556532091</v>
      </c>
      <c r="P21" s="401"/>
      <c r="Q21" s="400">
        <v>0.43545146924330985</v>
      </c>
      <c r="R21" s="401"/>
      <c r="S21" s="400">
        <v>0.53158489421720723</v>
      </c>
      <c r="T21" s="401"/>
      <c r="U21" s="400">
        <v>0.41209301200846099</v>
      </c>
      <c r="V21" s="401"/>
      <c r="W21" s="400">
        <v>0.40149362906318403</v>
      </c>
      <c r="X21" s="401"/>
      <c r="Y21" s="642"/>
      <c r="Z21" s="123"/>
      <c r="AA21" s="122"/>
      <c r="AB21" s="122"/>
      <c r="AC21" s="122"/>
      <c r="AD21" s="123"/>
      <c r="AE21" s="122"/>
      <c r="AF21" s="122"/>
      <c r="AG21" s="123"/>
      <c r="AH21" s="122"/>
      <c r="AI21" s="122"/>
      <c r="AJ21" s="123"/>
      <c r="AK21" s="122"/>
      <c r="AL21" s="122"/>
      <c r="AM21" s="123"/>
      <c r="AN21" s="122"/>
      <c r="AO21" s="122"/>
      <c r="AP21" s="123"/>
      <c r="AQ21" s="122"/>
      <c r="AR21" s="122"/>
      <c r="AS21" s="123"/>
      <c r="AT21" s="122"/>
      <c r="AU21" s="122"/>
      <c r="AV21" s="123"/>
      <c r="AW21" s="122"/>
      <c r="AX21" s="122"/>
      <c r="AY21" s="123"/>
      <c r="AZ21" s="122"/>
      <c r="BA21" s="122"/>
      <c r="BB21" s="123"/>
      <c r="BC21" s="122"/>
      <c r="BD21" s="122"/>
      <c r="BE21" s="123"/>
      <c r="BF21" s="122"/>
      <c r="BG21" s="122"/>
      <c r="BH21" s="123"/>
      <c r="BI21" s="122"/>
      <c r="BJ21" s="122"/>
      <c r="BK21" s="123"/>
      <c r="BL21" s="122"/>
      <c r="BM21" s="122"/>
      <c r="BN21" s="123"/>
      <c r="BO21" s="122"/>
      <c r="BP21" s="122"/>
      <c r="BQ21" s="123"/>
      <c r="BR21" s="122"/>
      <c r="BS21" s="122"/>
      <c r="BT21" s="65"/>
      <c r="BU21" s="66"/>
      <c r="BV21" s="57"/>
      <c r="BW21" s="67"/>
    </row>
    <row r="22" spans="1:75" s="518" customFormat="1" ht="16.2" customHeight="1" x14ac:dyDescent="0.4">
      <c r="A22" s="156">
        <f t="shared" si="2"/>
        <v>20</v>
      </c>
      <c r="B22" s="493" t="s">
        <v>51</v>
      </c>
      <c r="C22" s="494" t="s">
        <v>5</v>
      </c>
      <c r="D22" s="650" t="s">
        <v>3</v>
      </c>
      <c r="E22" s="514" t="s">
        <v>3</v>
      </c>
      <c r="F22" s="651" t="s">
        <v>3</v>
      </c>
      <c r="G22" s="653" t="s">
        <v>126</v>
      </c>
      <c r="H22" s="651" t="s">
        <v>3</v>
      </c>
      <c r="I22" s="653">
        <v>0.22600000000000001</v>
      </c>
      <c r="J22" s="512"/>
      <c r="K22" s="653">
        <v>0.76100000000000001</v>
      </c>
      <c r="L22" s="512"/>
      <c r="M22" s="653">
        <v>1.218</v>
      </c>
      <c r="N22" s="512"/>
      <c r="O22" s="653">
        <v>2.0830000000000002</v>
      </c>
      <c r="P22" s="512"/>
      <c r="Q22" s="653">
        <v>2.5230000000000001</v>
      </c>
      <c r="R22" s="512"/>
      <c r="S22" s="653">
        <v>3.899</v>
      </c>
      <c r="T22" s="512">
        <f t="shared" ref="T22:T23" si="10">S22/Q22-1</f>
        <v>0.54538248117320642</v>
      </c>
      <c r="U22" s="515">
        <v>4.2782049999999998</v>
      </c>
      <c r="V22" s="512">
        <f t="shared" ref="V22:V23" si="11">U22/S22-1</f>
        <v>9.7256988971531122E-2</v>
      </c>
      <c r="W22" s="515">
        <v>7.2174803819999998</v>
      </c>
      <c r="X22" s="512">
        <f t="shared" ref="X22:X23" si="12">W22/U22-1</f>
        <v>0.68703472180505609</v>
      </c>
      <c r="Y22" s="652"/>
      <c r="Z22" s="516"/>
      <c r="AA22" s="517"/>
      <c r="AB22" s="517"/>
      <c r="AC22" s="517"/>
      <c r="AD22" s="516"/>
      <c r="AE22" s="517"/>
      <c r="AF22" s="517"/>
      <c r="AG22" s="516"/>
      <c r="AH22" s="517"/>
      <c r="AI22" s="517"/>
      <c r="AJ22" s="516"/>
      <c r="AK22" s="517"/>
      <c r="AL22" s="517"/>
      <c r="AM22" s="516"/>
      <c r="AN22" s="517"/>
      <c r="AO22" s="517"/>
      <c r="AP22" s="516"/>
      <c r="AQ22" s="517"/>
      <c r="AR22" s="517"/>
      <c r="AS22" s="516"/>
      <c r="AT22" s="517"/>
      <c r="AU22" s="517"/>
      <c r="AV22" s="516"/>
      <c r="AW22" s="517"/>
      <c r="AX22" s="517"/>
      <c r="AY22" s="516"/>
      <c r="AZ22" s="517"/>
      <c r="BA22" s="517"/>
      <c r="BB22" s="516"/>
      <c r="BC22" s="517"/>
      <c r="BD22" s="517"/>
      <c r="BE22" s="516"/>
      <c r="BF22" s="517"/>
      <c r="BG22" s="517"/>
      <c r="BH22" s="516"/>
      <c r="BI22" s="517"/>
      <c r="BJ22" s="517"/>
      <c r="BK22" s="516"/>
      <c r="BL22" s="517"/>
      <c r="BM22" s="517"/>
      <c r="BN22" s="516"/>
      <c r="BO22" s="517"/>
      <c r="BP22" s="517"/>
      <c r="BQ22" s="516"/>
      <c r="BR22" s="517"/>
      <c r="BS22" s="517"/>
      <c r="BT22" s="511"/>
      <c r="BU22" s="511"/>
      <c r="BV22" s="510"/>
      <c r="BW22" s="517"/>
    </row>
    <row r="23" spans="1:75" s="50" customFormat="1" ht="16.2" customHeight="1" x14ac:dyDescent="0.4">
      <c r="A23" s="156">
        <f t="shared" si="2"/>
        <v>21</v>
      </c>
      <c r="B23" s="47" t="s">
        <v>6</v>
      </c>
      <c r="C23" s="48" t="s">
        <v>6</v>
      </c>
      <c r="D23" s="641" t="s">
        <v>126</v>
      </c>
      <c r="E23" s="394" t="s">
        <v>126</v>
      </c>
      <c r="F23" s="395" t="s">
        <v>126</v>
      </c>
      <c r="G23" s="394" t="s">
        <v>126</v>
      </c>
      <c r="H23" s="395" t="s">
        <v>126</v>
      </c>
      <c r="I23" s="394">
        <v>11.026</v>
      </c>
      <c r="J23" s="395"/>
      <c r="K23" s="394">
        <v>18.236999999999998</v>
      </c>
      <c r="L23" s="395">
        <f>K23/I23-1</f>
        <v>0.65399963722111365</v>
      </c>
      <c r="M23" s="394">
        <v>42.927000000000007</v>
      </c>
      <c r="N23" s="395">
        <f>M23/K23-1</f>
        <v>1.3538410922849158</v>
      </c>
      <c r="O23" s="394">
        <v>42.692999999999998</v>
      </c>
      <c r="P23" s="395">
        <f>O23/M23-1</f>
        <v>-5.4511146830668045E-3</v>
      </c>
      <c r="Q23" s="394">
        <v>54.236000000000004</v>
      </c>
      <c r="R23" s="395">
        <f>Q23/O23-1</f>
        <v>0.27037219216264985</v>
      </c>
      <c r="S23" s="394">
        <v>72.775999999999996</v>
      </c>
      <c r="T23" s="395">
        <f t="shared" si="10"/>
        <v>0.34183936868500608</v>
      </c>
      <c r="U23" s="394">
        <v>93.901205000000004</v>
      </c>
      <c r="V23" s="395">
        <f t="shared" si="11"/>
        <v>0.29027708310432021</v>
      </c>
      <c r="W23" s="394">
        <v>129.65879534800001</v>
      </c>
      <c r="X23" s="395">
        <f t="shared" si="12"/>
        <v>0.38080012229875004</v>
      </c>
      <c r="Y23" s="642"/>
      <c r="Z23" s="118"/>
      <c r="AA23" s="52"/>
      <c r="AB23" s="52"/>
      <c r="AC23" s="52"/>
      <c r="AD23" s="118"/>
      <c r="AE23" s="52"/>
      <c r="AF23" s="52"/>
      <c r="AG23" s="118"/>
      <c r="AH23" s="52"/>
      <c r="AI23" s="52"/>
      <c r="AJ23" s="118"/>
      <c r="AK23" s="52"/>
      <c r="AL23" s="52"/>
      <c r="AM23" s="118"/>
      <c r="AN23" s="52"/>
      <c r="AO23" s="52"/>
      <c r="AP23" s="118"/>
      <c r="AQ23" s="52"/>
      <c r="AR23" s="52"/>
      <c r="AS23" s="118"/>
      <c r="AT23" s="52"/>
      <c r="AU23" s="52"/>
      <c r="AV23" s="118"/>
      <c r="AW23" s="52"/>
      <c r="AX23" s="52"/>
      <c r="AY23" s="118"/>
      <c r="AZ23" s="52"/>
      <c r="BA23" s="52"/>
      <c r="BB23" s="118"/>
      <c r="BC23" s="52"/>
      <c r="BD23" s="52"/>
      <c r="BE23" s="118"/>
      <c r="BF23" s="52"/>
      <c r="BG23" s="52"/>
      <c r="BH23" s="118"/>
      <c r="BI23" s="52"/>
      <c r="BJ23" s="52"/>
      <c r="BK23" s="118"/>
      <c r="BL23" s="52"/>
      <c r="BM23" s="52"/>
      <c r="BN23" s="118"/>
      <c r="BO23" s="52"/>
      <c r="BP23" s="52"/>
      <c r="BQ23" s="118"/>
      <c r="BR23" s="52"/>
      <c r="BS23" s="52"/>
      <c r="BT23" s="49"/>
      <c r="BV23" s="57"/>
      <c r="BW23" s="52"/>
    </row>
    <row r="24" spans="1:75" s="50" customFormat="1" ht="16.2" customHeight="1" thickBot="1" x14ac:dyDescent="0.45">
      <c r="A24" s="156">
        <f t="shared" si="2"/>
        <v>22</v>
      </c>
      <c r="B24" s="203" t="s">
        <v>80</v>
      </c>
      <c r="C24" s="204" t="s">
        <v>125</v>
      </c>
      <c r="D24" s="655" t="s">
        <v>126</v>
      </c>
      <c r="E24" s="404" t="s">
        <v>126</v>
      </c>
      <c r="F24" s="405" t="s">
        <v>126</v>
      </c>
      <c r="G24" s="404" t="s">
        <v>126</v>
      </c>
      <c r="H24" s="405" t="s">
        <v>126</v>
      </c>
      <c r="I24" s="404">
        <f>I23/I$4</f>
        <v>0.31620303986234582</v>
      </c>
      <c r="J24" s="405"/>
      <c r="K24" s="404">
        <f>K23/K$4</f>
        <v>0.38408238911587544</v>
      </c>
      <c r="L24" s="405"/>
      <c r="M24" s="404">
        <f>M23/M$4</f>
        <v>0.5290942033451248</v>
      </c>
      <c r="N24" s="405"/>
      <c r="O24" s="404">
        <f>O23/O$4</f>
        <v>0.5583630870639934</v>
      </c>
      <c r="P24" s="405"/>
      <c r="Q24" s="404">
        <v>0.53914668575291269</v>
      </c>
      <c r="R24" s="405"/>
      <c r="S24" s="404">
        <v>0.5132299012693935</v>
      </c>
      <c r="T24" s="405"/>
      <c r="U24" s="404">
        <v>0.52131712774048855</v>
      </c>
      <c r="V24" s="405"/>
      <c r="W24" s="404">
        <v>0.53371183131728495</v>
      </c>
      <c r="X24" s="405"/>
      <c r="Y24" s="642"/>
      <c r="Z24" s="123"/>
      <c r="AA24" s="122"/>
      <c r="AB24" s="122"/>
      <c r="AC24" s="122"/>
      <c r="AD24" s="123"/>
      <c r="AE24" s="122"/>
      <c r="AF24" s="122"/>
      <c r="AG24" s="123"/>
      <c r="AH24" s="122"/>
      <c r="AI24" s="122"/>
      <c r="AJ24" s="123"/>
      <c r="AK24" s="122"/>
      <c r="AL24" s="122"/>
      <c r="AM24" s="123"/>
      <c r="AN24" s="122"/>
      <c r="AO24" s="122"/>
      <c r="AP24" s="123"/>
      <c r="AQ24" s="122"/>
      <c r="AR24" s="122"/>
      <c r="AS24" s="123"/>
      <c r="AT24" s="122"/>
      <c r="AU24" s="122"/>
      <c r="AV24" s="123"/>
      <c r="AW24" s="122"/>
      <c r="AX24" s="122"/>
      <c r="AY24" s="123"/>
      <c r="AZ24" s="122"/>
      <c r="BA24" s="122"/>
      <c r="BB24" s="123"/>
      <c r="BC24" s="122"/>
      <c r="BD24" s="122"/>
      <c r="BE24" s="123"/>
      <c r="BF24" s="122"/>
      <c r="BG24" s="122"/>
      <c r="BH24" s="123"/>
      <c r="BI24" s="122"/>
      <c r="BJ24" s="122"/>
      <c r="BK24" s="123"/>
      <c r="BL24" s="122"/>
      <c r="BM24" s="122"/>
      <c r="BN24" s="123"/>
      <c r="BO24" s="122"/>
      <c r="BP24" s="122"/>
      <c r="BQ24" s="123"/>
      <c r="BR24" s="122"/>
      <c r="BS24" s="122"/>
      <c r="BT24" s="49"/>
      <c r="BV24" s="57"/>
      <c r="BW24" s="52"/>
    </row>
    <row r="25" spans="1:75" s="74" customFormat="1" ht="16.2" customHeight="1" x14ac:dyDescent="0.4">
      <c r="A25" s="158"/>
      <c r="B25" s="75"/>
      <c r="C25" s="75"/>
      <c r="D25" s="656"/>
      <c r="E25" s="656"/>
      <c r="F25" s="657"/>
      <c r="G25" s="406"/>
      <c r="H25" s="337"/>
      <c r="I25" s="406"/>
      <c r="J25" s="337"/>
      <c r="K25" s="406"/>
      <c r="L25" s="337"/>
      <c r="M25" s="406"/>
      <c r="N25" s="337"/>
      <c r="O25" s="406"/>
      <c r="P25" s="337"/>
      <c r="Q25" s="406"/>
      <c r="R25" s="337"/>
      <c r="S25" s="406"/>
      <c r="T25" s="337"/>
      <c r="U25" s="406"/>
      <c r="V25" s="337"/>
      <c r="W25" s="406"/>
      <c r="X25" s="337"/>
      <c r="Y25" s="125"/>
      <c r="Z25" s="125"/>
      <c r="AD25" s="125"/>
      <c r="AG25" s="125"/>
      <c r="AJ25" s="125"/>
      <c r="AM25" s="125"/>
      <c r="AP25" s="125"/>
      <c r="AS25" s="125"/>
      <c r="AV25" s="125"/>
      <c r="AY25" s="125"/>
      <c r="BB25" s="125"/>
      <c r="BE25" s="125"/>
      <c r="BH25" s="125"/>
      <c r="BK25" s="125"/>
      <c r="BN25" s="125"/>
      <c r="BQ25" s="125"/>
      <c r="BT25" s="58"/>
    </row>
    <row r="26" spans="1:75" ht="16.2" customHeight="1" thickBot="1" x14ac:dyDescent="0.45">
      <c r="B26" s="43" t="s">
        <v>256</v>
      </c>
      <c r="C26" s="44"/>
      <c r="D26" s="407"/>
      <c r="E26" s="407"/>
      <c r="G26" s="407"/>
      <c r="I26" s="407"/>
      <c r="K26" s="407"/>
      <c r="M26" s="407"/>
      <c r="O26" s="407"/>
      <c r="Q26" s="407"/>
      <c r="S26" s="407"/>
      <c r="U26" s="407"/>
      <c r="W26" s="407"/>
      <c r="Y26" s="126"/>
      <c r="Z26" s="126"/>
      <c r="AD26" s="126"/>
      <c r="AG26" s="126"/>
      <c r="AJ26" s="126"/>
      <c r="AM26" s="126"/>
      <c r="AP26" s="126"/>
      <c r="AS26" s="126"/>
      <c r="AV26" s="126"/>
      <c r="AY26" s="126"/>
      <c r="BB26" s="126"/>
      <c r="BE26" s="126"/>
      <c r="BH26" s="126"/>
      <c r="BK26" s="126"/>
      <c r="BN26" s="126"/>
      <c r="BQ26" s="126"/>
      <c r="BT26" s="42"/>
    </row>
    <row r="27" spans="1:75" s="21" customFormat="1" ht="16.2" customHeight="1" x14ac:dyDescent="0.4">
      <c r="A27" s="156">
        <v>1</v>
      </c>
      <c r="B27" s="24" t="s">
        <v>189</v>
      </c>
      <c r="C27" s="46"/>
      <c r="D27" s="391">
        <v>2014</v>
      </c>
      <c r="E27" s="392">
        <v>2015</v>
      </c>
      <c r="F27" s="393" t="str">
        <f t="shared" ref="F27:V27" si="13">F3</f>
        <v>yoy</v>
      </c>
      <c r="G27" s="392">
        <f t="shared" si="13"/>
        <v>2016</v>
      </c>
      <c r="H27" s="393" t="str">
        <f t="shared" si="13"/>
        <v>yoy</v>
      </c>
      <c r="I27" s="392">
        <f t="shared" si="13"/>
        <v>2017</v>
      </c>
      <c r="J27" s="393" t="str">
        <f t="shared" si="13"/>
        <v>YoY</v>
      </c>
      <c r="K27" s="392">
        <f t="shared" si="13"/>
        <v>2018</v>
      </c>
      <c r="L27" s="393" t="str">
        <f t="shared" si="13"/>
        <v>YoY</v>
      </c>
      <c r="M27" s="392">
        <f t="shared" si="13"/>
        <v>2019</v>
      </c>
      <c r="N27" s="393" t="str">
        <f t="shared" si="13"/>
        <v>yoy</v>
      </c>
      <c r="O27" s="392">
        <f t="shared" si="13"/>
        <v>2020</v>
      </c>
      <c r="P27" s="393" t="str">
        <f t="shared" si="13"/>
        <v>yoy</v>
      </c>
      <c r="Q27" s="392">
        <v>2021</v>
      </c>
      <c r="R27" s="393" t="str">
        <f t="shared" si="13"/>
        <v>yoy</v>
      </c>
      <c r="S27" s="392">
        <v>2022</v>
      </c>
      <c r="T27" s="393" t="str">
        <f t="shared" si="13"/>
        <v>yoy</v>
      </c>
      <c r="U27" s="392">
        <v>2023</v>
      </c>
      <c r="V27" s="393" t="str">
        <f t="shared" si="13"/>
        <v>yoy</v>
      </c>
      <c r="W27" s="392">
        <v>2024</v>
      </c>
      <c r="X27" s="393" t="s">
        <v>2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44"/>
      <c r="BU27" s="12"/>
      <c r="BV27" s="12"/>
      <c r="BW27" s="12"/>
    </row>
    <row r="28" spans="1:75" s="21" customFormat="1" ht="16.2" customHeight="1" x14ac:dyDescent="0.4">
      <c r="A28" s="156">
        <f>IF(A27="","",A27+1)</f>
        <v>2</v>
      </c>
      <c r="B28" s="76" t="s">
        <v>351</v>
      </c>
      <c r="C28" s="77" t="s">
        <v>352</v>
      </c>
      <c r="D28" s="658" t="s">
        <v>3</v>
      </c>
      <c r="E28" s="127" t="s">
        <v>3</v>
      </c>
      <c r="F28" s="408" t="s">
        <v>3</v>
      </c>
      <c r="G28" s="127" t="s">
        <v>3</v>
      </c>
      <c r="H28" s="408" t="s">
        <v>3</v>
      </c>
      <c r="I28" s="127">
        <v>20.901</v>
      </c>
      <c r="J28" s="408" t="s">
        <v>3</v>
      </c>
      <c r="K28" s="127">
        <v>25.065000000000001</v>
      </c>
      <c r="L28" s="408">
        <f t="shared" ref="L28:L39" si="14">K28/I28-1</f>
        <v>0.19922491746806381</v>
      </c>
      <c r="M28" s="127">
        <v>36.781999999999996</v>
      </c>
      <c r="N28" s="408">
        <f t="shared" ref="N28:N39" si="15">M28/K28-1</f>
        <v>0.46746459206064217</v>
      </c>
      <c r="O28" s="127">
        <v>32.936</v>
      </c>
      <c r="P28" s="408">
        <f t="shared" ref="P28:P39" si="16">O28/M28-1</f>
        <v>-0.10456201402860088</v>
      </c>
      <c r="Q28" s="127">
        <v>46.89</v>
      </c>
      <c r="R28" s="408">
        <f t="shared" ref="R28:R39" si="17">Q28/O28-1</f>
        <v>0.42367014816614046</v>
      </c>
      <c r="S28" s="127">
        <v>74.242000000000004</v>
      </c>
      <c r="T28" s="408">
        <f t="shared" ref="T28:T39" si="18">S28/Q28-1</f>
        <v>0.58332267007890826</v>
      </c>
      <c r="U28" s="127">
        <v>89.978999999999999</v>
      </c>
      <c r="V28" s="408">
        <f t="shared" ref="V28:X43" si="19">U28/S28-1</f>
        <v>0.21196896635327711</v>
      </c>
      <c r="W28" s="127">
        <v>111.33040800000001</v>
      </c>
      <c r="X28" s="408">
        <f t="shared" si="19"/>
        <v>0.23729323508818734</v>
      </c>
      <c r="Y28" s="642"/>
      <c r="Z28" s="128"/>
      <c r="AA28" s="52"/>
      <c r="AB28" s="52"/>
      <c r="AC28" s="52"/>
      <c r="AD28" s="128"/>
      <c r="AE28" s="52"/>
      <c r="AF28" s="52"/>
      <c r="AG28" s="128"/>
      <c r="AH28" s="52"/>
      <c r="AI28" s="52"/>
      <c r="AJ28" s="128"/>
      <c r="AK28" s="52"/>
      <c r="AL28" s="52"/>
      <c r="AM28" s="128"/>
      <c r="AN28" s="52"/>
      <c r="AO28" s="52"/>
      <c r="AP28" s="128"/>
      <c r="AQ28" s="52"/>
      <c r="AR28" s="52"/>
      <c r="AS28" s="128"/>
      <c r="AT28" s="52"/>
      <c r="AU28" s="52"/>
      <c r="AV28" s="128"/>
      <c r="AW28" s="52"/>
      <c r="AX28" s="52"/>
      <c r="AY28" s="128"/>
      <c r="AZ28" s="52"/>
      <c r="BA28" s="52"/>
      <c r="BB28" s="128"/>
      <c r="BC28" s="52"/>
      <c r="BD28" s="52"/>
      <c r="BE28" s="128"/>
      <c r="BF28" s="52"/>
      <c r="BG28" s="52"/>
      <c r="BH28" s="128"/>
      <c r="BI28" s="52"/>
      <c r="BJ28" s="52"/>
      <c r="BK28" s="128"/>
      <c r="BL28" s="52"/>
      <c r="BM28" s="52"/>
      <c r="BN28" s="128"/>
      <c r="BO28" s="52"/>
      <c r="BP28" s="52"/>
      <c r="BQ28" s="128"/>
      <c r="BR28" s="52"/>
      <c r="BS28" s="52"/>
      <c r="BT28" s="63"/>
      <c r="BU28" s="64"/>
      <c r="BV28" s="57"/>
      <c r="BW28" s="52"/>
    </row>
    <row r="29" spans="1:75" s="89" customFormat="1" ht="16.2" customHeight="1" x14ac:dyDescent="0.4">
      <c r="A29" s="156">
        <f t="shared" ref="A29:A47" si="20">IF(A28="","",A28+1)</f>
        <v>3</v>
      </c>
      <c r="B29" s="83" t="s">
        <v>204</v>
      </c>
      <c r="C29" s="84" t="s">
        <v>406</v>
      </c>
      <c r="D29" s="659" t="s">
        <v>126</v>
      </c>
      <c r="E29" s="409" t="s">
        <v>126</v>
      </c>
      <c r="F29" s="403" t="s">
        <v>126</v>
      </c>
      <c r="G29" s="409" t="s">
        <v>126</v>
      </c>
      <c r="H29" s="403" t="s">
        <v>126</v>
      </c>
      <c r="I29" s="409">
        <v>13.8</v>
      </c>
      <c r="J29" s="403" t="s">
        <v>126</v>
      </c>
      <c r="K29" s="409">
        <v>14.819000000000001</v>
      </c>
      <c r="L29" s="403">
        <f t="shared" si="14"/>
        <v>7.3840579710144905E-2</v>
      </c>
      <c r="M29" s="409">
        <v>19.649999999999999</v>
      </c>
      <c r="N29" s="403">
        <f t="shared" si="15"/>
        <v>0.32600040488561954</v>
      </c>
      <c r="O29" s="409">
        <v>20.559000000000001</v>
      </c>
      <c r="P29" s="403">
        <f t="shared" si="16"/>
        <v>4.6259541984732921E-2</v>
      </c>
      <c r="Q29" s="409">
        <v>36.563000000000002</v>
      </c>
      <c r="R29" s="403">
        <f t="shared" si="17"/>
        <v>0.77844253125151996</v>
      </c>
      <c r="S29" s="409">
        <v>44.3</v>
      </c>
      <c r="T29" s="403">
        <f t="shared" si="18"/>
        <v>0.21160736263435709</v>
      </c>
      <c r="U29" s="409">
        <v>63.156999999999996</v>
      </c>
      <c r="V29" s="403">
        <f t="shared" si="19"/>
        <v>0.42566591422121891</v>
      </c>
      <c r="W29" s="409">
        <v>84.701324999999997</v>
      </c>
      <c r="X29" s="403">
        <f t="shared" si="19"/>
        <v>0.34112331174691635</v>
      </c>
      <c r="Y29" s="642"/>
      <c r="Z29" s="128"/>
      <c r="AA29" s="88"/>
      <c r="AB29" s="88"/>
      <c r="AC29" s="88"/>
      <c r="AD29" s="129"/>
      <c r="AE29" s="88"/>
      <c r="AF29" s="88"/>
      <c r="AG29" s="129"/>
      <c r="AH29" s="88"/>
      <c r="AI29" s="88"/>
      <c r="AJ29" s="129"/>
      <c r="AK29" s="88"/>
      <c r="AL29" s="88"/>
      <c r="AM29" s="129"/>
      <c r="AN29" s="88"/>
      <c r="AO29" s="88"/>
      <c r="AP29" s="129"/>
      <c r="AQ29" s="88"/>
      <c r="AR29" s="88"/>
      <c r="AS29" s="129"/>
      <c r="AT29" s="88"/>
      <c r="AU29" s="88"/>
      <c r="AV29" s="129"/>
      <c r="AW29" s="88"/>
      <c r="AX29" s="88"/>
      <c r="AY29" s="129"/>
      <c r="AZ29" s="88"/>
      <c r="BA29" s="88"/>
      <c r="BB29" s="129"/>
      <c r="BC29" s="88"/>
      <c r="BD29" s="88"/>
      <c r="BE29" s="129"/>
      <c r="BF29" s="88"/>
      <c r="BG29" s="88"/>
      <c r="BH29" s="129"/>
      <c r="BI29" s="88"/>
      <c r="BJ29" s="88"/>
      <c r="BK29" s="129"/>
      <c r="BL29" s="88"/>
      <c r="BM29" s="88"/>
      <c r="BN29" s="129"/>
      <c r="BO29" s="88"/>
      <c r="BP29" s="88"/>
      <c r="BQ29" s="129"/>
      <c r="BR29" s="88"/>
      <c r="BS29" s="88"/>
      <c r="BT29" s="85"/>
      <c r="BU29" s="86"/>
      <c r="BV29" s="87"/>
      <c r="BW29" s="88"/>
    </row>
    <row r="30" spans="1:75" s="89" customFormat="1" ht="16.2" customHeight="1" x14ac:dyDescent="0.4">
      <c r="A30" s="156">
        <f t="shared" si="20"/>
        <v>4</v>
      </c>
      <c r="B30" s="83" t="s">
        <v>205</v>
      </c>
      <c r="C30" s="84" t="s">
        <v>407</v>
      </c>
      <c r="D30" s="659" t="s">
        <v>126</v>
      </c>
      <c r="E30" s="409" t="s">
        <v>126</v>
      </c>
      <c r="F30" s="403" t="s">
        <v>126</v>
      </c>
      <c r="G30" s="409" t="s">
        <v>126</v>
      </c>
      <c r="H30" s="403" t="s">
        <v>126</v>
      </c>
      <c r="I30" s="409">
        <v>7.1020000000000003</v>
      </c>
      <c r="J30" s="403" t="s">
        <v>126</v>
      </c>
      <c r="K30" s="409">
        <v>10.246</v>
      </c>
      <c r="L30" s="403">
        <f t="shared" si="14"/>
        <v>0.44269219938045623</v>
      </c>
      <c r="M30" s="409">
        <v>17.132999999999999</v>
      </c>
      <c r="N30" s="403">
        <f t="shared" si="15"/>
        <v>0.67216474721842645</v>
      </c>
      <c r="O30" s="409">
        <v>12.377000000000001</v>
      </c>
      <c r="P30" s="403">
        <f t="shared" si="16"/>
        <v>-0.27759294927916878</v>
      </c>
      <c r="Q30" s="409">
        <v>10.327</v>
      </c>
      <c r="R30" s="403">
        <f t="shared" si="17"/>
        <v>-0.16562979720449222</v>
      </c>
      <c r="S30" s="409">
        <v>29.942000000000004</v>
      </c>
      <c r="T30" s="403">
        <f t="shared" si="18"/>
        <v>1.8993899486782224</v>
      </c>
      <c r="U30" s="409">
        <v>26.821999999999999</v>
      </c>
      <c r="V30" s="403">
        <f t="shared" si="19"/>
        <v>-0.10420145614855403</v>
      </c>
      <c r="W30" s="409">
        <v>26.629083000000001</v>
      </c>
      <c r="X30" s="403">
        <f t="shared" si="19"/>
        <v>-7.1924912385354922E-3</v>
      </c>
      <c r="Y30" s="642"/>
      <c r="Z30" s="129"/>
      <c r="AA30" s="88"/>
      <c r="AB30" s="88"/>
      <c r="AC30" s="88"/>
      <c r="AD30" s="129"/>
      <c r="AE30" s="88"/>
      <c r="AF30" s="88"/>
      <c r="AG30" s="129"/>
      <c r="AH30" s="88"/>
      <c r="AI30" s="88"/>
      <c r="AJ30" s="129"/>
      <c r="AK30" s="88"/>
      <c r="AL30" s="88"/>
      <c r="AM30" s="129"/>
      <c r="AN30" s="88"/>
      <c r="AO30" s="88"/>
      <c r="AP30" s="129"/>
      <c r="AQ30" s="88"/>
      <c r="AR30" s="88"/>
      <c r="AS30" s="129"/>
      <c r="AT30" s="88"/>
      <c r="AU30" s="88"/>
      <c r="AV30" s="129"/>
      <c r="AW30" s="88"/>
      <c r="AX30" s="88"/>
      <c r="AY30" s="129"/>
      <c r="AZ30" s="88"/>
      <c r="BA30" s="88"/>
      <c r="BB30" s="129"/>
      <c r="BC30" s="88"/>
      <c r="BD30" s="88"/>
      <c r="BE30" s="129"/>
      <c r="BF30" s="88"/>
      <c r="BG30" s="88"/>
      <c r="BH30" s="129"/>
      <c r="BI30" s="88"/>
      <c r="BJ30" s="88"/>
      <c r="BK30" s="129"/>
      <c r="BL30" s="88"/>
      <c r="BM30" s="88"/>
      <c r="BN30" s="129"/>
      <c r="BO30" s="88"/>
      <c r="BP30" s="88"/>
      <c r="BQ30" s="129"/>
      <c r="BR30" s="88"/>
      <c r="BS30" s="88"/>
      <c r="BT30" s="85"/>
      <c r="BU30" s="86"/>
      <c r="BV30" s="87"/>
      <c r="BW30" s="88"/>
    </row>
    <row r="31" spans="1:75" s="21" customFormat="1" ht="16.2" customHeight="1" x14ac:dyDescent="0.4">
      <c r="A31" s="156">
        <f t="shared" si="20"/>
        <v>5</v>
      </c>
      <c r="B31" s="76" t="s">
        <v>353</v>
      </c>
      <c r="C31" s="77" t="s">
        <v>354</v>
      </c>
      <c r="D31" s="658" t="s">
        <v>126</v>
      </c>
      <c r="E31" s="127" t="s">
        <v>126</v>
      </c>
      <c r="F31" s="408" t="s">
        <v>126</v>
      </c>
      <c r="G31" s="127" t="s">
        <v>126</v>
      </c>
      <c r="H31" s="408" t="s">
        <v>126</v>
      </c>
      <c r="I31" s="127">
        <v>3.8780000000000001</v>
      </c>
      <c r="J31" s="408" t="s">
        <v>126</v>
      </c>
      <c r="K31" s="127">
        <v>5.3680000000000003</v>
      </c>
      <c r="L31" s="408">
        <f t="shared" si="14"/>
        <v>0.38421866941722538</v>
      </c>
      <c r="M31" s="127">
        <v>6.585</v>
      </c>
      <c r="N31" s="408">
        <f t="shared" si="15"/>
        <v>0.22671385991058113</v>
      </c>
      <c r="O31" s="127">
        <v>4.3899999999999997</v>
      </c>
      <c r="P31" s="408">
        <f t="shared" si="16"/>
        <v>-0.33333333333333337</v>
      </c>
      <c r="Q31" s="127">
        <v>7.2430000000000003</v>
      </c>
      <c r="R31" s="408">
        <f t="shared" si="17"/>
        <v>0.64988610478359932</v>
      </c>
      <c r="S31" s="127">
        <v>7.8430000000000009</v>
      </c>
      <c r="T31" s="408">
        <f t="shared" si="18"/>
        <v>8.2838602788899651E-2</v>
      </c>
      <c r="U31" s="127">
        <v>5.0949999999999998</v>
      </c>
      <c r="V31" s="408">
        <f t="shared" si="19"/>
        <v>-0.35037613158230274</v>
      </c>
      <c r="W31" s="127">
        <v>4.8883450000000002</v>
      </c>
      <c r="X31" s="408">
        <f t="shared" si="19"/>
        <v>-4.056035328753671E-2</v>
      </c>
      <c r="Z31" s="660"/>
      <c r="AA31" s="660"/>
      <c r="AB31" s="660"/>
      <c r="AC31" s="52"/>
      <c r="AD31" s="128"/>
      <c r="AE31" s="52"/>
      <c r="AF31" s="52"/>
      <c r="AG31" s="128"/>
      <c r="AH31" s="52"/>
      <c r="AI31" s="52"/>
      <c r="AJ31" s="128"/>
      <c r="AK31" s="52"/>
      <c r="AL31" s="52"/>
      <c r="AM31" s="128"/>
      <c r="AN31" s="52"/>
      <c r="AO31" s="52"/>
      <c r="AP31" s="128"/>
      <c r="AQ31" s="52"/>
      <c r="AR31" s="52"/>
      <c r="AS31" s="128"/>
      <c r="AT31" s="52"/>
      <c r="AU31" s="52"/>
      <c r="AV31" s="128"/>
      <c r="AW31" s="52"/>
      <c r="AX31" s="52"/>
      <c r="AY31" s="128"/>
      <c r="AZ31" s="52"/>
      <c r="BA31" s="52"/>
      <c r="BB31" s="128"/>
      <c r="BC31" s="52"/>
      <c r="BD31" s="52"/>
      <c r="BE31" s="128"/>
      <c r="BF31" s="52"/>
      <c r="BG31" s="52"/>
      <c r="BH31" s="128"/>
      <c r="BI31" s="52"/>
      <c r="BJ31" s="52"/>
      <c r="BK31" s="128"/>
      <c r="BL31" s="52"/>
      <c r="BM31" s="52"/>
      <c r="BN31" s="128"/>
      <c r="BO31" s="52"/>
      <c r="BP31" s="52"/>
      <c r="BQ31" s="128"/>
      <c r="BR31" s="52"/>
      <c r="BS31" s="52"/>
      <c r="BT31" s="63"/>
      <c r="BU31" s="64"/>
      <c r="BV31" s="57"/>
      <c r="BW31" s="52"/>
    </row>
    <row r="32" spans="1:75" s="89" customFormat="1" ht="16.2" customHeight="1" x14ac:dyDescent="0.4">
      <c r="A32" s="156">
        <f t="shared" si="20"/>
        <v>6</v>
      </c>
      <c r="B32" s="83" t="s">
        <v>204</v>
      </c>
      <c r="C32" s="84" t="s">
        <v>406</v>
      </c>
      <c r="D32" s="659" t="s">
        <v>126</v>
      </c>
      <c r="E32" s="409" t="s">
        <v>126</v>
      </c>
      <c r="F32" s="403" t="s">
        <v>126</v>
      </c>
      <c r="G32" s="409" t="s">
        <v>126</v>
      </c>
      <c r="H32" s="403" t="s">
        <v>126</v>
      </c>
      <c r="I32" s="409">
        <v>3.004</v>
      </c>
      <c r="J32" s="403" t="s">
        <v>126</v>
      </c>
      <c r="K32" s="409">
        <v>3.9359999999999999</v>
      </c>
      <c r="L32" s="403">
        <f t="shared" si="14"/>
        <v>0.31025299600532619</v>
      </c>
      <c r="M32" s="409">
        <v>5.4119999999999999</v>
      </c>
      <c r="N32" s="403">
        <f t="shared" si="15"/>
        <v>0.375</v>
      </c>
      <c r="O32" s="409">
        <v>3.5579999999999998</v>
      </c>
      <c r="P32" s="403">
        <f t="shared" si="16"/>
        <v>-0.34257206208425728</v>
      </c>
      <c r="Q32" s="409">
        <v>6.4210000000000003</v>
      </c>
      <c r="R32" s="403">
        <f t="shared" si="17"/>
        <v>0.804665542439573</v>
      </c>
      <c r="S32" s="409">
        <v>7.3690000000000007</v>
      </c>
      <c r="T32" s="403">
        <f t="shared" si="18"/>
        <v>0.14764055443077417</v>
      </c>
      <c r="U32" s="409">
        <v>4.7699999999999996</v>
      </c>
      <c r="V32" s="403">
        <f t="shared" si="19"/>
        <v>-0.35269371692224194</v>
      </c>
      <c r="W32" s="409">
        <v>4.5223450000000005</v>
      </c>
      <c r="X32" s="403">
        <f t="shared" si="19"/>
        <v>-5.1919287211739884E-2</v>
      </c>
      <c r="Y32" s="642"/>
      <c r="Z32" s="88"/>
      <c r="AA32" s="88"/>
      <c r="AB32" s="88"/>
      <c r="AC32" s="88"/>
      <c r="AE32" s="88"/>
      <c r="AG32" s="129"/>
      <c r="AI32" s="88"/>
      <c r="AJ32" s="129"/>
      <c r="AK32" s="88"/>
      <c r="AL32" s="88"/>
      <c r="AM32" s="129"/>
      <c r="AN32" s="88"/>
      <c r="AO32" s="88"/>
      <c r="AP32" s="129"/>
      <c r="AQ32" s="88"/>
      <c r="AR32" s="88"/>
      <c r="AS32" s="129"/>
      <c r="AT32" s="88"/>
      <c r="AU32" s="88"/>
      <c r="AV32" s="129"/>
      <c r="AW32" s="88"/>
      <c r="AX32" s="88"/>
      <c r="AY32" s="129"/>
      <c r="AZ32" s="88"/>
      <c r="BA32" s="88"/>
      <c r="BB32" s="129"/>
      <c r="BC32" s="88"/>
      <c r="BD32" s="88"/>
      <c r="BE32" s="129"/>
      <c r="BF32" s="88"/>
      <c r="BG32" s="88"/>
      <c r="BH32" s="129"/>
      <c r="BI32" s="88"/>
      <c r="BJ32" s="88"/>
      <c r="BK32" s="129"/>
      <c r="BL32" s="88"/>
      <c r="BM32" s="88"/>
      <c r="BN32" s="129"/>
      <c r="BO32" s="88"/>
      <c r="BP32" s="88"/>
      <c r="BQ32" s="129"/>
      <c r="BR32" s="88"/>
      <c r="BS32" s="88"/>
      <c r="BT32" s="85"/>
      <c r="BU32" s="86"/>
      <c r="BV32" s="87"/>
      <c r="BW32" s="88"/>
    </row>
    <row r="33" spans="1:75" s="89" customFormat="1" ht="16.2" customHeight="1" x14ac:dyDescent="0.4">
      <c r="A33" s="156">
        <f t="shared" si="20"/>
        <v>7</v>
      </c>
      <c r="B33" s="83" t="s">
        <v>205</v>
      </c>
      <c r="C33" s="84" t="s">
        <v>407</v>
      </c>
      <c r="D33" s="659" t="s">
        <v>126</v>
      </c>
      <c r="E33" s="409" t="s">
        <v>126</v>
      </c>
      <c r="F33" s="403" t="s">
        <v>126</v>
      </c>
      <c r="G33" s="409" t="s">
        <v>126</v>
      </c>
      <c r="H33" s="403" t="s">
        <v>126</v>
      </c>
      <c r="I33" s="409">
        <v>0.87000000000000011</v>
      </c>
      <c r="J33" s="403" t="s">
        <v>126</v>
      </c>
      <c r="K33" s="409">
        <v>1.4319999999999999</v>
      </c>
      <c r="L33" s="403">
        <f t="shared" si="14"/>
        <v>0.64597701149425268</v>
      </c>
      <c r="M33" s="409">
        <v>1.1739999999999999</v>
      </c>
      <c r="N33" s="403">
        <f t="shared" si="15"/>
        <v>-0.18016759776536317</v>
      </c>
      <c r="O33" s="409">
        <v>0.83199999999999996</v>
      </c>
      <c r="P33" s="403">
        <f t="shared" si="16"/>
        <v>-0.29131175468483816</v>
      </c>
      <c r="Q33" s="409">
        <v>0.82199999999999995</v>
      </c>
      <c r="R33" s="403">
        <f t="shared" si="17"/>
        <v>-1.2019230769230727E-2</v>
      </c>
      <c r="S33" s="409">
        <v>0.47400000000000009</v>
      </c>
      <c r="T33" s="403">
        <f t="shared" si="18"/>
        <v>-0.42335766423357646</v>
      </c>
      <c r="U33" s="409">
        <v>0.32500000000000001</v>
      </c>
      <c r="V33" s="403">
        <f t="shared" si="19"/>
        <v>-0.31434599156118159</v>
      </c>
      <c r="W33" s="409">
        <v>0.36599999999999999</v>
      </c>
      <c r="X33" s="403">
        <f t="shared" si="19"/>
        <v>0.12615384615384606</v>
      </c>
      <c r="Y33" s="642"/>
      <c r="Z33" s="129"/>
      <c r="AA33" s="88"/>
      <c r="AB33" s="88"/>
      <c r="AC33" s="88"/>
      <c r="AD33" s="129"/>
      <c r="AE33" s="88"/>
      <c r="AF33" s="88"/>
      <c r="AG33" s="129"/>
      <c r="AH33" s="88"/>
      <c r="AI33" s="88"/>
      <c r="AJ33" s="129"/>
      <c r="AK33" s="88"/>
      <c r="AL33" s="88"/>
      <c r="AM33" s="129"/>
      <c r="AN33" s="88"/>
      <c r="AO33" s="88"/>
      <c r="AP33" s="129"/>
      <c r="AQ33" s="88"/>
      <c r="AR33" s="88"/>
      <c r="AS33" s="129"/>
      <c r="AT33" s="88"/>
      <c r="AU33" s="88"/>
      <c r="AV33" s="129"/>
      <c r="AW33" s="88"/>
      <c r="AX33" s="88"/>
      <c r="AY33" s="129"/>
      <c r="AZ33" s="88"/>
      <c r="BA33" s="88"/>
      <c r="BB33" s="129"/>
      <c r="BC33" s="88"/>
      <c r="BD33" s="88"/>
      <c r="BE33" s="129"/>
      <c r="BF33" s="88"/>
      <c r="BG33" s="88"/>
      <c r="BH33" s="129"/>
      <c r="BI33" s="88"/>
      <c r="BJ33" s="88"/>
      <c r="BK33" s="129"/>
      <c r="BL33" s="88"/>
      <c r="BM33" s="88"/>
      <c r="BN33" s="129"/>
      <c r="BO33" s="88"/>
      <c r="BP33" s="88"/>
      <c r="BQ33" s="129"/>
      <c r="BR33" s="88"/>
      <c r="BS33" s="88"/>
      <c r="BT33" s="85"/>
      <c r="BU33" s="86"/>
      <c r="BV33" s="87"/>
      <c r="BW33" s="88"/>
    </row>
    <row r="34" spans="1:75" s="21" customFormat="1" ht="16.2" customHeight="1" x14ac:dyDescent="0.4">
      <c r="A34" s="156">
        <f t="shared" si="20"/>
        <v>8</v>
      </c>
      <c r="B34" s="76" t="s">
        <v>206</v>
      </c>
      <c r="C34" s="77" t="s">
        <v>355</v>
      </c>
      <c r="D34" s="658" t="s">
        <v>126</v>
      </c>
      <c r="E34" s="127" t="s">
        <v>126</v>
      </c>
      <c r="F34" s="408" t="s">
        <v>126</v>
      </c>
      <c r="G34" s="127" t="s">
        <v>126</v>
      </c>
      <c r="H34" s="408" t="s">
        <v>126</v>
      </c>
      <c r="I34" s="127">
        <v>9.2270000000000003</v>
      </c>
      <c r="J34" s="408" t="s">
        <v>126</v>
      </c>
      <c r="K34" s="127">
        <v>15.6646</v>
      </c>
      <c r="L34" s="408">
        <f t="shared" si="14"/>
        <v>0.69769155738593258</v>
      </c>
      <c r="M34" s="127">
        <v>35.005000000000003</v>
      </c>
      <c r="N34" s="408">
        <f t="shared" si="15"/>
        <v>1.2346564866003602</v>
      </c>
      <c r="O34" s="127">
        <v>37.747</v>
      </c>
      <c r="P34" s="408">
        <f t="shared" si="16"/>
        <v>7.8331666904727815E-2</v>
      </c>
      <c r="Q34" s="127">
        <v>45.317999999999998</v>
      </c>
      <c r="R34" s="408">
        <f t="shared" si="17"/>
        <v>0.20057223090576737</v>
      </c>
      <c r="S34" s="127">
        <v>55.608000000000004</v>
      </c>
      <c r="T34" s="408">
        <f t="shared" si="18"/>
        <v>0.22706209453197412</v>
      </c>
      <c r="U34" s="127">
        <v>81.043000000000006</v>
      </c>
      <c r="V34" s="408">
        <f t="shared" si="19"/>
        <v>0.45739821608401665</v>
      </c>
      <c r="W34" s="127">
        <v>109.469725</v>
      </c>
      <c r="X34" s="408">
        <f>W34/U34-1</f>
        <v>0.35076101575706709</v>
      </c>
      <c r="Y34" s="642"/>
      <c r="Z34" s="128"/>
      <c r="AA34" s="52"/>
      <c r="AB34" s="52"/>
      <c r="AC34" s="52"/>
      <c r="AD34" s="128"/>
      <c r="AE34" s="52"/>
      <c r="AF34" s="52"/>
      <c r="AG34" s="128"/>
      <c r="AH34" s="52"/>
      <c r="AI34" s="52"/>
      <c r="AJ34" s="128"/>
      <c r="AK34" s="52"/>
      <c r="AL34" s="52"/>
      <c r="AM34" s="128"/>
      <c r="AN34" s="52"/>
      <c r="AO34" s="52"/>
      <c r="AP34" s="128"/>
      <c r="AQ34" s="52"/>
      <c r="AR34" s="52"/>
      <c r="AS34" s="128"/>
      <c r="AT34" s="52"/>
      <c r="AU34" s="52"/>
      <c r="AV34" s="128"/>
      <c r="AW34" s="52"/>
      <c r="AX34" s="52"/>
      <c r="AY34" s="128"/>
      <c r="AZ34" s="52"/>
      <c r="BA34" s="52"/>
      <c r="BB34" s="128"/>
      <c r="BC34" s="52"/>
      <c r="BD34" s="52"/>
      <c r="BE34" s="128"/>
      <c r="BF34" s="52"/>
      <c r="BG34" s="52"/>
      <c r="BH34" s="128"/>
      <c r="BI34" s="52"/>
      <c r="BJ34" s="52"/>
      <c r="BK34" s="128"/>
      <c r="BL34" s="52"/>
      <c r="BM34" s="52"/>
      <c r="BN34" s="128"/>
      <c r="BO34" s="52"/>
      <c r="BP34" s="52"/>
      <c r="BQ34" s="128"/>
      <c r="BR34" s="52"/>
      <c r="BS34" s="52"/>
      <c r="BT34" s="63"/>
      <c r="BU34" s="64"/>
      <c r="BV34" s="57"/>
      <c r="BW34" s="52"/>
    </row>
    <row r="35" spans="1:75" s="89" customFormat="1" ht="16.2" customHeight="1" x14ac:dyDescent="0.4">
      <c r="A35" s="156">
        <f t="shared" si="20"/>
        <v>9</v>
      </c>
      <c r="B35" s="83" t="s">
        <v>204</v>
      </c>
      <c r="C35" s="84" t="s">
        <v>406</v>
      </c>
      <c r="D35" s="659" t="s">
        <v>126</v>
      </c>
      <c r="E35" s="409" t="s">
        <v>126</v>
      </c>
      <c r="F35" s="403" t="s">
        <v>126</v>
      </c>
      <c r="G35" s="409" t="s">
        <v>126</v>
      </c>
      <c r="H35" s="403" t="s">
        <v>126</v>
      </c>
      <c r="I35" s="409">
        <v>6.2340000000000009</v>
      </c>
      <c r="J35" s="403" t="s">
        <v>126</v>
      </c>
      <c r="K35" s="409">
        <v>7.8266</v>
      </c>
      <c r="L35" s="403">
        <f t="shared" si="14"/>
        <v>0.25547000320821289</v>
      </c>
      <c r="M35" s="409">
        <v>14.643000000000001</v>
      </c>
      <c r="N35" s="403">
        <f t="shared" si="15"/>
        <v>0.87092735031814583</v>
      </c>
      <c r="O35" s="409">
        <v>16.986000000000001</v>
      </c>
      <c r="P35" s="403">
        <f t="shared" si="16"/>
        <v>0.16000819504199959</v>
      </c>
      <c r="Q35" s="409">
        <v>26.725999999999999</v>
      </c>
      <c r="R35" s="403">
        <f t="shared" si="17"/>
        <v>0.57341339926998702</v>
      </c>
      <c r="S35" s="409">
        <v>34.695</v>
      </c>
      <c r="T35" s="403">
        <f t="shared" si="18"/>
        <v>0.2981740627104692</v>
      </c>
      <c r="U35" s="409">
        <v>47.777999999999999</v>
      </c>
      <c r="V35" s="403">
        <f t="shared" si="19"/>
        <v>0.3770860354517942</v>
      </c>
      <c r="W35" s="409">
        <v>64.496444999999994</v>
      </c>
      <c r="X35" s="403">
        <f t="shared" si="19"/>
        <v>0.34991931432877044</v>
      </c>
      <c r="Y35" s="642"/>
      <c r="Z35" s="149"/>
      <c r="AA35" s="149"/>
      <c r="AB35" s="149"/>
      <c r="AC35" s="55"/>
      <c r="AD35" s="129"/>
      <c r="AE35" s="88"/>
      <c r="AF35" s="88"/>
      <c r="AG35" s="129"/>
      <c r="AH35" s="88"/>
      <c r="AI35" s="88"/>
      <c r="AJ35" s="129"/>
      <c r="AK35" s="88"/>
      <c r="AL35" s="88"/>
      <c r="AM35" s="129"/>
      <c r="AN35" s="88"/>
      <c r="AO35" s="88"/>
      <c r="AP35" s="129"/>
      <c r="AQ35" s="88"/>
      <c r="AR35" s="88"/>
      <c r="AS35" s="129"/>
      <c r="AT35" s="88"/>
      <c r="AU35" s="88"/>
      <c r="AV35" s="129"/>
      <c r="AW35" s="88"/>
      <c r="AX35" s="88"/>
      <c r="AY35" s="129"/>
      <c r="AZ35" s="88"/>
      <c r="BA35" s="88"/>
      <c r="BB35" s="129"/>
      <c r="BC35" s="88"/>
      <c r="BD35" s="88"/>
      <c r="BE35" s="129"/>
      <c r="BF35" s="88"/>
      <c r="BG35" s="88"/>
      <c r="BH35" s="129"/>
      <c r="BI35" s="88"/>
      <c r="BJ35" s="88"/>
      <c r="BK35" s="129"/>
      <c r="BL35" s="88"/>
      <c r="BM35" s="88"/>
      <c r="BN35" s="129"/>
      <c r="BO35" s="88"/>
      <c r="BP35" s="88"/>
      <c r="BQ35" s="129"/>
      <c r="BR35" s="88"/>
      <c r="BS35" s="88"/>
      <c r="BT35" s="85"/>
      <c r="BU35" s="86"/>
      <c r="BV35" s="87"/>
      <c r="BW35" s="88"/>
    </row>
    <row r="36" spans="1:75" s="89" customFormat="1" ht="16.2" customHeight="1" x14ac:dyDescent="0.4">
      <c r="A36" s="156">
        <f t="shared" si="20"/>
        <v>10</v>
      </c>
      <c r="B36" s="83" t="s">
        <v>205</v>
      </c>
      <c r="C36" s="84" t="s">
        <v>407</v>
      </c>
      <c r="D36" s="659" t="s">
        <v>126</v>
      </c>
      <c r="E36" s="409" t="s">
        <v>126</v>
      </c>
      <c r="F36" s="403" t="s">
        <v>126</v>
      </c>
      <c r="G36" s="409" t="s">
        <v>126</v>
      </c>
      <c r="H36" s="403" t="s">
        <v>126</v>
      </c>
      <c r="I36" s="409">
        <v>2.9930000000000003</v>
      </c>
      <c r="J36" s="403" t="s">
        <v>126</v>
      </c>
      <c r="K36" s="409">
        <v>7.8380000000000001</v>
      </c>
      <c r="L36" s="403">
        <f t="shared" si="14"/>
        <v>1.6187771466755763</v>
      </c>
      <c r="M36" s="409">
        <v>20.361999999999998</v>
      </c>
      <c r="N36" s="403">
        <f t="shared" si="15"/>
        <v>1.5978565960704261</v>
      </c>
      <c r="O36" s="409">
        <v>20.760999999999999</v>
      </c>
      <c r="P36" s="403">
        <f t="shared" si="16"/>
        <v>1.9595324624300137E-2</v>
      </c>
      <c r="Q36" s="409">
        <v>18.591999999999999</v>
      </c>
      <c r="R36" s="403">
        <f t="shared" si="17"/>
        <v>-0.10447473628437942</v>
      </c>
      <c r="S36" s="409">
        <v>20.913</v>
      </c>
      <c r="T36" s="403">
        <f t="shared" si="18"/>
        <v>0.12483864027538738</v>
      </c>
      <c r="U36" s="409">
        <v>33.265000000000001</v>
      </c>
      <c r="V36" s="403">
        <f t="shared" si="19"/>
        <v>0.59063740257256248</v>
      </c>
      <c r="W36" s="409">
        <v>44.973280000000003</v>
      </c>
      <c r="X36" s="403">
        <f t="shared" si="19"/>
        <v>0.35196993837366608</v>
      </c>
      <c r="Y36" s="88"/>
      <c r="AA36" s="88"/>
      <c r="AB36" s="88"/>
      <c r="AC36" s="88"/>
      <c r="AE36" s="88"/>
      <c r="AG36" s="129"/>
      <c r="AI36" s="88"/>
      <c r="AJ36" s="129"/>
      <c r="AK36" s="88"/>
      <c r="AL36" s="88"/>
      <c r="AM36" s="129"/>
      <c r="AN36" s="88"/>
      <c r="AO36" s="88"/>
      <c r="AP36" s="129"/>
      <c r="AQ36" s="88"/>
      <c r="AR36" s="88"/>
      <c r="AS36" s="129"/>
      <c r="AT36" s="88"/>
      <c r="AU36" s="88"/>
      <c r="AV36" s="129"/>
      <c r="AW36" s="88"/>
      <c r="AX36" s="88"/>
      <c r="AY36" s="129"/>
      <c r="AZ36" s="88"/>
      <c r="BA36" s="88"/>
      <c r="BB36" s="129"/>
      <c r="BC36" s="88"/>
      <c r="BD36" s="88"/>
      <c r="BE36" s="129"/>
      <c r="BF36" s="88"/>
      <c r="BG36" s="88"/>
      <c r="BH36" s="129"/>
      <c r="BI36" s="88"/>
      <c r="BJ36" s="88"/>
      <c r="BK36" s="129"/>
      <c r="BL36" s="88"/>
      <c r="BM36" s="88"/>
      <c r="BN36" s="129"/>
      <c r="BO36" s="88"/>
      <c r="BP36" s="88"/>
      <c r="BQ36" s="129"/>
      <c r="BR36" s="88"/>
      <c r="BS36" s="88"/>
      <c r="BT36" s="85"/>
      <c r="BU36" s="86"/>
      <c r="BV36" s="87"/>
      <c r="BW36" s="88"/>
    </row>
    <row r="37" spans="1:75" s="21" customFormat="1" ht="16.2" customHeight="1" x14ac:dyDescent="0.4">
      <c r="A37" s="156">
        <f t="shared" si="20"/>
        <v>11</v>
      </c>
      <c r="B37" s="76" t="s">
        <v>245</v>
      </c>
      <c r="C37" s="77" t="s">
        <v>356</v>
      </c>
      <c r="D37" s="658" t="s">
        <v>126</v>
      </c>
      <c r="E37" s="127" t="s">
        <v>126</v>
      </c>
      <c r="F37" s="408" t="s">
        <v>126</v>
      </c>
      <c r="G37" s="127" t="s">
        <v>126</v>
      </c>
      <c r="H37" s="408" t="s">
        <v>126</v>
      </c>
      <c r="I37" s="127">
        <v>0.85799999999999998</v>
      </c>
      <c r="J37" s="408" t="s">
        <v>126</v>
      </c>
      <c r="K37" s="127">
        <v>1.3819999999999999</v>
      </c>
      <c r="L37" s="408">
        <f t="shared" si="14"/>
        <v>0.61072261072261069</v>
      </c>
      <c r="M37" s="127">
        <v>2.7589999999999999</v>
      </c>
      <c r="N37" s="408">
        <f t="shared" si="15"/>
        <v>0.99638205499276422</v>
      </c>
      <c r="O37" s="127">
        <v>1.3879999999999999</v>
      </c>
      <c r="P37" s="408">
        <f t="shared" si="16"/>
        <v>-0.49691917361362814</v>
      </c>
      <c r="Q37" s="127">
        <v>1.1419999999999999</v>
      </c>
      <c r="R37" s="408">
        <f t="shared" si="17"/>
        <v>-0.17723342939481268</v>
      </c>
      <c r="S37" s="127">
        <v>1.9550000000000001</v>
      </c>
      <c r="T37" s="408">
        <f t="shared" si="18"/>
        <v>0.71190893169877434</v>
      </c>
      <c r="U37" s="127">
        <v>2.4300000000000002</v>
      </c>
      <c r="V37" s="408">
        <f t="shared" si="19"/>
        <v>0.24296675191815864</v>
      </c>
      <c r="W37" s="127">
        <v>4.497808</v>
      </c>
      <c r="X37" s="408">
        <f t="shared" si="19"/>
        <v>0.850949794238683</v>
      </c>
      <c r="Y37" s="642"/>
      <c r="Z37" s="128"/>
      <c r="AA37" s="52"/>
      <c r="AB37" s="52"/>
      <c r="AC37" s="52"/>
      <c r="AD37" s="128"/>
      <c r="AE37" s="52"/>
      <c r="AF37" s="52"/>
      <c r="AG37" s="128"/>
      <c r="AH37" s="52"/>
      <c r="AI37" s="52"/>
      <c r="AJ37" s="128"/>
      <c r="AK37" s="52"/>
      <c r="AL37" s="52"/>
      <c r="AM37" s="128"/>
      <c r="AN37" s="52"/>
      <c r="AO37" s="52"/>
      <c r="AP37" s="128"/>
      <c r="AQ37" s="52"/>
      <c r="AR37" s="52"/>
      <c r="AS37" s="128"/>
      <c r="AT37" s="52"/>
      <c r="AU37" s="52"/>
      <c r="AV37" s="128"/>
      <c r="AW37" s="52"/>
      <c r="AX37" s="52"/>
      <c r="AY37" s="128"/>
      <c r="AZ37" s="52"/>
      <c r="BA37" s="52"/>
      <c r="BB37" s="128"/>
      <c r="BC37" s="52"/>
      <c r="BD37" s="52"/>
      <c r="BE37" s="128"/>
      <c r="BF37" s="52"/>
      <c r="BG37" s="52"/>
      <c r="BH37" s="128"/>
      <c r="BI37" s="52"/>
      <c r="BJ37" s="52"/>
      <c r="BK37" s="128"/>
      <c r="BL37" s="52"/>
      <c r="BM37" s="52"/>
      <c r="BN37" s="128"/>
      <c r="BO37" s="52"/>
      <c r="BP37" s="52"/>
      <c r="BQ37" s="128"/>
      <c r="BR37" s="52"/>
      <c r="BS37" s="52"/>
      <c r="BT37" s="63"/>
      <c r="BU37" s="64"/>
      <c r="BV37" s="57"/>
      <c r="BW37" s="52"/>
    </row>
    <row r="38" spans="1:75" s="89" customFormat="1" ht="16.2" customHeight="1" x14ac:dyDescent="0.4">
      <c r="A38" s="156">
        <f t="shared" si="20"/>
        <v>12</v>
      </c>
      <c r="B38" s="83" t="s">
        <v>204</v>
      </c>
      <c r="C38" s="84" t="s">
        <v>406</v>
      </c>
      <c r="D38" s="659" t="s">
        <v>126</v>
      </c>
      <c r="E38" s="409" t="s">
        <v>126</v>
      </c>
      <c r="F38" s="403" t="s">
        <v>126</v>
      </c>
      <c r="G38" s="409" t="s">
        <v>126</v>
      </c>
      <c r="H38" s="403" t="s">
        <v>126</v>
      </c>
      <c r="I38" s="409">
        <v>0.47</v>
      </c>
      <c r="J38" s="403" t="s">
        <v>126</v>
      </c>
      <c r="K38" s="409">
        <v>0.95899999999999996</v>
      </c>
      <c r="L38" s="403">
        <f t="shared" si="14"/>
        <v>1.0404255319148938</v>
      </c>
      <c r="M38" s="409">
        <v>1.466</v>
      </c>
      <c r="N38" s="403">
        <f t="shared" si="15"/>
        <v>0.52867570385818574</v>
      </c>
      <c r="O38" s="409">
        <v>0.79700000000000004</v>
      </c>
      <c r="P38" s="403">
        <f t="shared" si="16"/>
        <v>-0.45634379263301494</v>
      </c>
      <c r="Q38" s="409">
        <v>0.46899999999999997</v>
      </c>
      <c r="R38" s="403">
        <f t="shared" si="17"/>
        <v>-0.41154328732747814</v>
      </c>
      <c r="S38" s="409">
        <v>1.0649999999999999</v>
      </c>
      <c r="T38" s="403">
        <f t="shared" si="18"/>
        <v>1.2707889125799574</v>
      </c>
      <c r="U38" s="409">
        <v>1.3580000000000001</v>
      </c>
      <c r="V38" s="403">
        <f t="shared" si="19"/>
        <v>0.27511737089201893</v>
      </c>
      <c r="W38" s="409">
        <v>1.6697749999999998</v>
      </c>
      <c r="X38" s="403">
        <f t="shared" si="19"/>
        <v>0.22958394698085405</v>
      </c>
      <c r="Y38" s="642"/>
      <c r="Z38" s="129"/>
      <c r="AA38" s="88"/>
      <c r="AB38" s="88"/>
      <c r="AC38" s="88"/>
      <c r="AD38" s="129"/>
      <c r="AE38" s="88"/>
      <c r="AF38" s="88"/>
      <c r="AG38" s="129"/>
      <c r="AH38" s="88"/>
      <c r="AI38" s="88"/>
      <c r="AJ38" s="129"/>
      <c r="AK38" s="88"/>
      <c r="AL38" s="88"/>
      <c r="AM38" s="129"/>
      <c r="AN38" s="88"/>
      <c r="AO38" s="88"/>
      <c r="AP38" s="129"/>
      <c r="AQ38" s="88"/>
      <c r="AR38" s="88"/>
      <c r="AS38" s="129"/>
      <c r="AT38" s="88"/>
      <c r="AU38" s="88"/>
      <c r="AV38" s="129"/>
      <c r="AW38" s="88"/>
      <c r="AX38" s="88"/>
      <c r="AY38" s="129"/>
      <c r="AZ38" s="88"/>
      <c r="BA38" s="88"/>
      <c r="BB38" s="129"/>
      <c r="BC38" s="88"/>
      <c r="BD38" s="88"/>
      <c r="BE38" s="129"/>
      <c r="BF38" s="88"/>
      <c r="BG38" s="88"/>
      <c r="BH38" s="129"/>
      <c r="BI38" s="88"/>
      <c r="BJ38" s="88"/>
      <c r="BK38" s="129"/>
      <c r="BL38" s="88"/>
      <c r="BM38" s="88"/>
      <c r="BN38" s="129"/>
      <c r="BO38" s="88"/>
      <c r="BP38" s="88"/>
      <c r="BQ38" s="129"/>
      <c r="BR38" s="88"/>
      <c r="BS38" s="88"/>
      <c r="BT38" s="85"/>
      <c r="BU38" s="86"/>
      <c r="BV38" s="87"/>
      <c r="BW38" s="88"/>
    </row>
    <row r="39" spans="1:75" s="89" customFormat="1" ht="16.2" customHeight="1" x14ac:dyDescent="0.4">
      <c r="A39" s="156">
        <f t="shared" si="20"/>
        <v>13</v>
      </c>
      <c r="B39" s="83" t="s">
        <v>205</v>
      </c>
      <c r="C39" s="84" t="s">
        <v>407</v>
      </c>
      <c r="D39" s="659" t="s">
        <v>126</v>
      </c>
      <c r="E39" s="409" t="s">
        <v>126</v>
      </c>
      <c r="F39" s="403" t="s">
        <v>126</v>
      </c>
      <c r="G39" s="409" t="s">
        <v>126</v>
      </c>
      <c r="H39" s="403" t="s">
        <v>126</v>
      </c>
      <c r="I39" s="409">
        <v>0.38800000000000001</v>
      </c>
      <c r="J39" s="403" t="s">
        <v>126</v>
      </c>
      <c r="K39" s="409">
        <v>0.42299999999999999</v>
      </c>
      <c r="L39" s="403">
        <f t="shared" si="14"/>
        <v>9.0206185567010211E-2</v>
      </c>
      <c r="M39" s="409">
        <v>1.294</v>
      </c>
      <c r="N39" s="403">
        <f t="shared" si="15"/>
        <v>2.0591016548463359</v>
      </c>
      <c r="O39" s="409">
        <v>0.59099999999999997</v>
      </c>
      <c r="P39" s="403">
        <f t="shared" si="16"/>
        <v>-0.54327666151468312</v>
      </c>
      <c r="Q39" s="409">
        <v>0.67300000000000004</v>
      </c>
      <c r="R39" s="403">
        <f t="shared" si="17"/>
        <v>0.13874788494077839</v>
      </c>
      <c r="S39" s="409">
        <v>0.89</v>
      </c>
      <c r="T39" s="403">
        <f t="shared" si="18"/>
        <v>0.32243684992570576</v>
      </c>
      <c r="U39" s="409">
        <v>1.0720000000000001</v>
      </c>
      <c r="V39" s="403">
        <f t="shared" si="19"/>
        <v>0.20449438202247205</v>
      </c>
      <c r="W39" s="409">
        <v>2.828033</v>
      </c>
      <c r="X39" s="403">
        <f t="shared" si="19"/>
        <v>1.6380904850746267</v>
      </c>
      <c r="Y39" s="642"/>
      <c r="Z39" s="129"/>
      <c r="AA39" s="88"/>
      <c r="AB39" s="88"/>
      <c r="AC39" s="88"/>
      <c r="AD39" s="129"/>
      <c r="AE39" s="88"/>
      <c r="AF39" s="88"/>
      <c r="AG39" s="129"/>
      <c r="AH39" s="88"/>
      <c r="AI39" s="88"/>
      <c r="AJ39" s="129"/>
      <c r="AK39" s="88"/>
      <c r="AL39" s="88"/>
      <c r="AM39" s="129"/>
      <c r="AN39" s="88"/>
      <c r="AO39" s="88"/>
      <c r="AP39" s="129"/>
      <c r="AQ39" s="88"/>
      <c r="AR39" s="88"/>
      <c r="AS39" s="129"/>
      <c r="AT39" s="88"/>
      <c r="AU39" s="88"/>
      <c r="AV39" s="129"/>
      <c r="AW39" s="88"/>
      <c r="AX39" s="88"/>
      <c r="AY39" s="129"/>
      <c r="AZ39" s="88"/>
      <c r="BA39" s="88"/>
      <c r="BB39" s="129"/>
      <c r="BC39" s="88"/>
      <c r="BD39" s="88"/>
      <c r="BE39" s="129"/>
      <c r="BF39" s="88"/>
      <c r="BG39" s="88"/>
      <c r="BH39" s="129"/>
      <c r="BI39" s="88"/>
      <c r="BJ39" s="88"/>
      <c r="BK39" s="129"/>
      <c r="BL39" s="88"/>
      <c r="BM39" s="88"/>
      <c r="BN39" s="129"/>
      <c r="BO39" s="88"/>
      <c r="BP39" s="88"/>
      <c r="BQ39" s="129"/>
      <c r="BR39" s="88"/>
      <c r="BS39" s="88"/>
      <c r="BT39" s="85"/>
      <c r="BU39" s="86"/>
      <c r="BV39" s="87"/>
      <c r="BW39" s="88"/>
    </row>
    <row r="40" spans="1:75" s="21" customFormat="1" ht="16.2" customHeight="1" x14ac:dyDescent="0.4">
      <c r="A40" s="156">
        <f>IF(A39="","",A39+1)</f>
        <v>14</v>
      </c>
      <c r="B40" s="76" t="s">
        <v>357</v>
      </c>
      <c r="C40" s="77" t="s">
        <v>358</v>
      </c>
      <c r="D40" s="658"/>
      <c r="E40" s="127"/>
      <c r="F40" s="408"/>
      <c r="G40" s="127"/>
      <c r="H40" s="408"/>
      <c r="I40" s="127"/>
      <c r="J40" s="408"/>
      <c r="K40" s="127"/>
      <c r="L40" s="408"/>
      <c r="M40" s="127"/>
      <c r="N40" s="408"/>
      <c r="O40" s="127"/>
      <c r="P40" s="408"/>
      <c r="Q40" s="127"/>
      <c r="R40" s="408"/>
      <c r="S40" s="127"/>
      <c r="T40" s="408"/>
      <c r="U40" s="127"/>
      <c r="V40" s="408"/>
      <c r="W40" s="127">
        <v>11.683697</v>
      </c>
      <c r="X40" s="408"/>
      <c r="Y40" s="642"/>
      <c r="Z40" s="128"/>
      <c r="AA40" s="52"/>
      <c r="AB40" s="52"/>
      <c r="AC40" s="52"/>
      <c r="AD40" s="128"/>
      <c r="AE40" s="52"/>
      <c r="AF40" s="52"/>
      <c r="AG40" s="128"/>
      <c r="AH40" s="52"/>
      <c r="AI40" s="52"/>
      <c r="AJ40" s="128"/>
      <c r="AK40" s="52"/>
      <c r="AL40" s="52"/>
      <c r="AM40" s="128"/>
      <c r="AN40" s="52"/>
      <c r="AO40" s="52"/>
      <c r="AP40" s="128"/>
      <c r="AQ40" s="52"/>
      <c r="AR40" s="52"/>
      <c r="AS40" s="128"/>
      <c r="AT40" s="52"/>
      <c r="AU40" s="52"/>
      <c r="AV40" s="128"/>
      <c r="AW40" s="52"/>
      <c r="AX40" s="52"/>
      <c r="AY40" s="128"/>
      <c r="AZ40" s="52"/>
      <c r="BA40" s="52"/>
      <c r="BB40" s="128"/>
      <c r="BC40" s="52"/>
      <c r="BD40" s="52"/>
      <c r="BE40" s="128"/>
      <c r="BF40" s="52"/>
      <c r="BG40" s="52"/>
      <c r="BH40" s="128"/>
      <c r="BI40" s="52"/>
      <c r="BJ40" s="52"/>
      <c r="BK40" s="128"/>
      <c r="BL40" s="52"/>
      <c r="BM40" s="52"/>
      <c r="BN40" s="128"/>
      <c r="BO40" s="52"/>
      <c r="BP40" s="52"/>
      <c r="BQ40" s="128"/>
      <c r="BR40" s="52"/>
      <c r="BS40" s="52"/>
      <c r="BT40" s="63"/>
      <c r="BU40" s="64"/>
      <c r="BV40" s="57"/>
      <c r="BW40" s="52"/>
    </row>
    <row r="41" spans="1:75" s="89" customFormat="1" ht="16.2" customHeight="1" x14ac:dyDescent="0.4">
      <c r="A41" s="156">
        <f t="shared" si="20"/>
        <v>15</v>
      </c>
      <c r="B41" s="83" t="s">
        <v>204</v>
      </c>
      <c r="C41" s="84" t="s">
        <v>406</v>
      </c>
      <c r="D41" s="659"/>
      <c r="E41" s="409"/>
      <c r="F41" s="403"/>
      <c r="G41" s="409"/>
      <c r="H41" s="403"/>
      <c r="I41" s="409"/>
      <c r="J41" s="403"/>
      <c r="K41" s="409"/>
      <c r="L41" s="403"/>
      <c r="M41" s="409"/>
      <c r="N41" s="403"/>
      <c r="O41" s="409"/>
      <c r="P41" s="403"/>
      <c r="Q41" s="409"/>
      <c r="R41" s="403"/>
      <c r="S41" s="409"/>
      <c r="T41" s="403"/>
      <c r="U41" s="409"/>
      <c r="V41" s="403"/>
      <c r="W41" s="409">
        <v>8.3497669999999999</v>
      </c>
      <c r="X41" s="403"/>
      <c r="Y41" s="642"/>
      <c r="Z41" s="129"/>
      <c r="AA41" s="88"/>
      <c r="AB41" s="88"/>
      <c r="AC41" s="88"/>
      <c r="AD41" s="129"/>
      <c r="AE41" s="88"/>
      <c r="AF41" s="88"/>
      <c r="AG41" s="129"/>
      <c r="AH41" s="88"/>
      <c r="AI41" s="88"/>
      <c r="AJ41" s="129"/>
      <c r="AK41" s="88"/>
      <c r="AL41" s="88"/>
      <c r="AM41" s="129"/>
      <c r="AN41" s="88"/>
      <c r="AO41" s="88"/>
      <c r="AP41" s="129"/>
      <c r="AQ41" s="88"/>
      <c r="AR41" s="88"/>
      <c r="AS41" s="129"/>
      <c r="AT41" s="88"/>
      <c r="AU41" s="88"/>
      <c r="AV41" s="129"/>
      <c r="AW41" s="88"/>
      <c r="AX41" s="88"/>
      <c r="AY41" s="129"/>
      <c r="AZ41" s="88"/>
      <c r="BA41" s="88"/>
      <c r="BB41" s="129"/>
      <c r="BC41" s="88"/>
      <c r="BD41" s="88"/>
      <c r="BE41" s="129"/>
      <c r="BF41" s="88"/>
      <c r="BG41" s="88"/>
      <c r="BH41" s="129"/>
      <c r="BI41" s="88"/>
      <c r="BJ41" s="88"/>
      <c r="BK41" s="129"/>
      <c r="BL41" s="88"/>
      <c r="BM41" s="88"/>
      <c r="BN41" s="129"/>
      <c r="BO41" s="88"/>
      <c r="BP41" s="88"/>
      <c r="BQ41" s="129"/>
      <c r="BR41" s="88"/>
      <c r="BS41" s="88"/>
      <c r="BT41" s="85"/>
      <c r="BU41" s="86"/>
      <c r="BV41" s="87"/>
      <c r="BW41" s="88"/>
    </row>
    <row r="42" spans="1:75" s="89" customFormat="1" ht="16.2" customHeight="1" x14ac:dyDescent="0.4">
      <c r="A42" s="156">
        <f t="shared" si="20"/>
        <v>16</v>
      </c>
      <c r="B42" s="83" t="s">
        <v>205</v>
      </c>
      <c r="C42" s="84" t="s">
        <v>407</v>
      </c>
      <c r="D42" s="659"/>
      <c r="E42" s="409"/>
      <c r="F42" s="403"/>
      <c r="G42" s="409"/>
      <c r="H42" s="403"/>
      <c r="I42" s="409"/>
      <c r="J42" s="403"/>
      <c r="K42" s="409"/>
      <c r="L42" s="403"/>
      <c r="M42" s="409"/>
      <c r="N42" s="403"/>
      <c r="O42" s="409"/>
      <c r="P42" s="403"/>
      <c r="Q42" s="409"/>
      <c r="R42" s="403"/>
      <c r="S42" s="409"/>
      <c r="T42" s="403"/>
      <c r="U42" s="409"/>
      <c r="V42" s="403"/>
      <c r="W42" s="409">
        <v>3.3339300000000001</v>
      </c>
      <c r="X42" s="403"/>
      <c r="Y42" s="642"/>
      <c r="Z42" s="129"/>
      <c r="AA42" s="88"/>
      <c r="AB42" s="88"/>
      <c r="AC42" s="88"/>
      <c r="AD42" s="129"/>
      <c r="AE42" s="88"/>
      <c r="AF42" s="88"/>
      <c r="AG42" s="129"/>
      <c r="AH42" s="88"/>
      <c r="AI42" s="88"/>
      <c r="AJ42" s="129"/>
      <c r="AK42" s="88"/>
      <c r="AL42" s="88"/>
      <c r="AM42" s="129"/>
      <c r="AN42" s="88"/>
      <c r="AO42" s="88"/>
      <c r="AP42" s="129"/>
      <c r="AQ42" s="88"/>
      <c r="AR42" s="88"/>
      <c r="AS42" s="129"/>
      <c r="AT42" s="88"/>
      <c r="AU42" s="88"/>
      <c r="AV42" s="129"/>
      <c r="AW42" s="88"/>
      <c r="AX42" s="88"/>
      <c r="AY42" s="129"/>
      <c r="AZ42" s="88"/>
      <c r="BA42" s="88"/>
      <c r="BB42" s="129"/>
      <c r="BC42" s="88"/>
      <c r="BD42" s="88"/>
      <c r="BE42" s="129"/>
      <c r="BF42" s="88"/>
      <c r="BG42" s="88"/>
      <c r="BH42" s="129"/>
      <c r="BI42" s="88"/>
      <c r="BJ42" s="88"/>
      <c r="BK42" s="129"/>
      <c r="BL42" s="88"/>
      <c r="BM42" s="88"/>
      <c r="BN42" s="129"/>
      <c r="BO42" s="88"/>
      <c r="BP42" s="88"/>
      <c r="BQ42" s="129"/>
      <c r="BR42" s="88"/>
      <c r="BS42" s="88"/>
      <c r="BT42" s="85"/>
      <c r="BU42" s="86"/>
      <c r="BV42" s="87"/>
      <c r="BW42" s="88"/>
    </row>
    <row r="43" spans="1:75" s="21" customFormat="1" ht="16.2" customHeight="1" x14ac:dyDescent="0.4">
      <c r="A43" s="156">
        <f t="shared" si="20"/>
        <v>17</v>
      </c>
      <c r="B43" s="76" t="s">
        <v>359</v>
      </c>
      <c r="C43" s="77" t="s">
        <v>187</v>
      </c>
      <c r="D43" s="658" t="s">
        <v>3</v>
      </c>
      <c r="E43" s="127" t="s">
        <v>3</v>
      </c>
      <c r="F43" s="408" t="s">
        <v>3</v>
      </c>
      <c r="G43" s="127" t="s">
        <v>3</v>
      </c>
      <c r="H43" s="408" t="s">
        <v>3</v>
      </c>
      <c r="I43" s="127"/>
      <c r="J43" s="408" t="s">
        <v>3</v>
      </c>
      <c r="K43" s="127"/>
      <c r="L43" s="408"/>
      <c r="M43" s="127"/>
      <c r="N43" s="408"/>
      <c r="O43" s="127"/>
      <c r="P43" s="408"/>
      <c r="Q43" s="127"/>
      <c r="R43" s="408"/>
      <c r="S43" s="127">
        <v>2.1510000000000002</v>
      </c>
      <c r="T43" s="408" t="s">
        <v>3</v>
      </c>
      <c r="U43" s="127">
        <v>1.575</v>
      </c>
      <c r="V43" s="408" t="s">
        <v>3</v>
      </c>
      <c r="W43" s="127">
        <v>1.0117670000000001</v>
      </c>
      <c r="X43" s="408">
        <f t="shared" si="19"/>
        <v>-0.35760825396825391</v>
      </c>
      <c r="Y43" s="642"/>
      <c r="Z43" s="128"/>
      <c r="AA43" s="52"/>
      <c r="AB43" s="52"/>
      <c r="AC43" s="52"/>
      <c r="AD43" s="128"/>
      <c r="AE43" s="52"/>
      <c r="AF43" s="52"/>
      <c r="AG43" s="128"/>
      <c r="AH43" s="52"/>
      <c r="AI43" s="52"/>
      <c r="AJ43" s="128"/>
      <c r="AK43" s="52"/>
      <c r="AL43" s="52"/>
      <c r="AM43" s="128"/>
      <c r="AN43" s="52"/>
      <c r="AO43" s="52"/>
      <c r="AP43" s="128"/>
      <c r="AQ43" s="52"/>
      <c r="AR43" s="52"/>
      <c r="AS43" s="128"/>
      <c r="AT43" s="52"/>
      <c r="AU43" s="52"/>
      <c r="AV43" s="128"/>
      <c r="AW43" s="52"/>
      <c r="AX43" s="52"/>
      <c r="AY43" s="128"/>
      <c r="AZ43" s="52"/>
      <c r="BA43" s="52"/>
      <c r="BB43" s="128"/>
      <c r="BC43" s="52"/>
      <c r="BD43" s="52"/>
      <c r="BE43" s="128"/>
      <c r="BF43" s="52"/>
      <c r="BG43" s="52"/>
      <c r="BH43" s="128"/>
      <c r="BI43" s="52"/>
      <c r="BJ43" s="52"/>
      <c r="BK43" s="128"/>
      <c r="BL43" s="52"/>
      <c r="BM43" s="52"/>
      <c r="BN43" s="128"/>
      <c r="BO43" s="52"/>
      <c r="BP43" s="52"/>
      <c r="BQ43" s="128"/>
      <c r="BR43" s="52"/>
      <c r="BS43" s="52"/>
      <c r="BT43" s="63"/>
      <c r="BU43" s="64"/>
      <c r="BV43" s="57"/>
      <c r="BW43" s="52"/>
    </row>
    <row r="44" spans="1:75" s="50" customFormat="1" ht="16.2" customHeight="1" x14ac:dyDescent="0.4">
      <c r="A44" s="156">
        <f t="shared" si="20"/>
        <v>18</v>
      </c>
      <c r="B44" s="90" t="s">
        <v>207</v>
      </c>
      <c r="C44" s="91" t="s">
        <v>7</v>
      </c>
      <c r="D44" s="661" t="s">
        <v>126</v>
      </c>
      <c r="E44" s="410" t="s">
        <v>126</v>
      </c>
      <c r="F44" s="411" t="s">
        <v>126</v>
      </c>
      <c r="G44" s="410" t="s">
        <v>126</v>
      </c>
      <c r="H44" s="411" t="s">
        <v>126</v>
      </c>
      <c r="I44" s="410">
        <v>34.868000000000002</v>
      </c>
      <c r="J44" s="411" t="s">
        <v>126</v>
      </c>
      <c r="K44" s="410">
        <v>47.481000000000002</v>
      </c>
      <c r="L44" s="411">
        <f>K44/I44-1</f>
        <v>0.36173568888379015</v>
      </c>
      <c r="M44" s="410">
        <v>81.132999999999996</v>
      </c>
      <c r="N44" s="411">
        <f>M44/K44-1</f>
        <v>0.70874665655735969</v>
      </c>
      <c r="O44" s="410">
        <v>76.460999999999999</v>
      </c>
      <c r="P44" s="411">
        <f>O44/M44-1</f>
        <v>-5.7584460084059486E-2</v>
      </c>
      <c r="Q44" s="410">
        <v>100.593</v>
      </c>
      <c r="R44" s="411">
        <f>Q44/O44-1</f>
        <v>0.31561188056656331</v>
      </c>
      <c r="S44" s="410">
        <v>141.803</v>
      </c>
      <c r="T44" s="411">
        <f>S44/Q44-1</f>
        <v>0.40967065302754646</v>
      </c>
      <c r="U44" s="410">
        <v>180.12199999999999</v>
      </c>
      <c r="V44" s="411">
        <f>U44/S44-1</f>
        <v>0.27022700507041453</v>
      </c>
      <c r="W44" s="410">
        <v>242.88174999999998</v>
      </c>
      <c r="X44" s="411">
        <f>W44/U44-1</f>
        <v>0.34842912026293282</v>
      </c>
      <c r="Y44" s="642"/>
      <c r="Z44" s="118"/>
      <c r="AA44" s="52"/>
      <c r="AB44" s="52"/>
      <c r="AC44" s="52"/>
      <c r="AD44" s="118"/>
      <c r="AE44" s="52"/>
      <c r="AF44" s="52"/>
      <c r="AG44" s="118"/>
      <c r="AH44" s="52"/>
      <c r="AI44" s="52"/>
      <c r="AJ44" s="118"/>
      <c r="AK44" s="52"/>
      <c r="AL44" s="52"/>
      <c r="AM44" s="118"/>
      <c r="AN44" s="52"/>
      <c r="AO44" s="52"/>
      <c r="AP44" s="118"/>
      <c r="AQ44" s="52"/>
      <c r="AR44" s="52"/>
      <c r="AS44" s="118"/>
      <c r="AT44" s="52"/>
      <c r="AU44" s="52"/>
      <c r="AV44" s="118"/>
      <c r="AW44" s="52"/>
      <c r="AX44" s="52"/>
      <c r="AY44" s="118"/>
      <c r="AZ44" s="52"/>
      <c r="BA44" s="52"/>
      <c r="BB44" s="118"/>
      <c r="BC44" s="52"/>
      <c r="BD44" s="52"/>
      <c r="BE44" s="118"/>
      <c r="BF44" s="52"/>
      <c r="BG44" s="52"/>
      <c r="BH44" s="118"/>
      <c r="BI44" s="52"/>
      <c r="BJ44" s="52"/>
      <c r="BK44" s="118"/>
      <c r="BL44" s="52"/>
      <c r="BM44" s="52"/>
      <c r="BN44" s="118"/>
      <c r="BO44" s="52"/>
      <c r="BP44" s="52"/>
      <c r="BQ44" s="118"/>
      <c r="BR44" s="52"/>
      <c r="BS44" s="52"/>
      <c r="BT44" s="49"/>
      <c r="BV44" s="57"/>
      <c r="BW44" s="52"/>
    </row>
    <row r="45" spans="1:75" s="89" customFormat="1" ht="16.2" customHeight="1" x14ac:dyDescent="0.4">
      <c r="A45" s="156">
        <f t="shared" si="20"/>
        <v>19</v>
      </c>
      <c r="B45" s="83" t="s">
        <v>204</v>
      </c>
      <c r="C45" s="84" t="s">
        <v>406</v>
      </c>
      <c r="D45" s="659" t="s">
        <v>126</v>
      </c>
      <c r="E45" s="409" t="s">
        <v>126</v>
      </c>
      <c r="F45" s="403" t="s">
        <v>126</v>
      </c>
      <c r="G45" s="409" t="s">
        <v>126</v>
      </c>
      <c r="H45" s="403" t="s">
        <v>126</v>
      </c>
      <c r="I45" s="409">
        <v>23.510999999999999</v>
      </c>
      <c r="J45" s="403" t="s">
        <v>126</v>
      </c>
      <c r="K45" s="409">
        <v>27.541</v>
      </c>
      <c r="L45" s="403">
        <f>K45/I45-1</f>
        <v>0.17140912764238014</v>
      </c>
      <c r="M45" s="409">
        <v>41.17</v>
      </c>
      <c r="N45" s="403">
        <f>M45/K45-1</f>
        <v>0.49486220543916337</v>
      </c>
      <c r="O45" s="409">
        <v>41.9</v>
      </c>
      <c r="P45" s="403">
        <f>O45/M45-1</f>
        <v>1.7731357784794621E-2</v>
      </c>
      <c r="Q45" s="409">
        <v>70.179000000000002</v>
      </c>
      <c r="R45" s="403">
        <f>Q45/O45-1</f>
        <v>0.6749164677804298</v>
      </c>
      <c r="S45" s="409">
        <v>87.429000000000002</v>
      </c>
      <c r="T45" s="403">
        <f>S45/Q45-1</f>
        <v>0.24580002564869829</v>
      </c>
      <c r="U45" s="409">
        <v>117.06299999999999</v>
      </c>
      <c r="V45" s="403">
        <f>U45/S45-1</f>
        <v>0.33894931887588764</v>
      </c>
      <c r="W45" s="409">
        <v>163.73965699999997</v>
      </c>
      <c r="X45" s="403">
        <f>W45/U45-1</f>
        <v>0.39873108497134013</v>
      </c>
      <c r="Y45" s="642"/>
      <c r="Z45" s="129"/>
      <c r="AA45" s="88"/>
      <c r="AB45" s="88"/>
      <c r="AC45" s="88"/>
      <c r="AD45" s="129"/>
      <c r="AE45" s="88"/>
      <c r="AF45" s="88"/>
      <c r="AG45" s="129"/>
      <c r="AH45" s="88"/>
      <c r="AI45" s="88"/>
      <c r="AJ45" s="129"/>
      <c r="AK45" s="88"/>
      <c r="AL45" s="88"/>
      <c r="AM45" s="129"/>
      <c r="AN45" s="88"/>
      <c r="AO45" s="88"/>
      <c r="AP45" s="129"/>
      <c r="AQ45" s="88"/>
      <c r="AR45" s="88"/>
      <c r="AS45" s="129"/>
      <c r="AT45" s="88"/>
      <c r="AU45" s="88"/>
      <c r="AV45" s="129"/>
      <c r="AW45" s="88"/>
      <c r="AX45" s="88"/>
      <c r="AY45" s="129"/>
      <c r="AZ45" s="88"/>
      <c r="BA45" s="88"/>
      <c r="BB45" s="129"/>
      <c r="BC45" s="88"/>
      <c r="BD45" s="88"/>
      <c r="BE45" s="129"/>
      <c r="BF45" s="88"/>
      <c r="BG45" s="88"/>
      <c r="BH45" s="129"/>
      <c r="BI45" s="88"/>
      <c r="BJ45" s="88"/>
      <c r="BK45" s="129"/>
      <c r="BL45" s="88"/>
      <c r="BM45" s="88"/>
      <c r="BN45" s="129"/>
      <c r="BO45" s="88"/>
      <c r="BP45" s="88"/>
      <c r="BQ45" s="129"/>
      <c r="BR45" s="88"/>
      <c r="BS45" s="88"/>
      <c r="BT45" s="85"/>
      <c r="BU45" s="86"/>
      <c r="BV45" s="87"/>
      <c r="BW45" s="88"/>
    </row>
    <row r="46" spans="1:75" ht="16.2" customHeight="1" thickBot="1" x14ac:dyDescent="0.45">
      <c r="A46" s="156">
        <f t="shared" si="20"/>
        <v>20</v>
      </c>
      <c r="B46" s="83" t="s">
        <v>205</v>
      </c>
      <c r="C46" s="84" t="s">
        <v>407</v>
      </c>
      <c r="D46" s="659" t="s">
        <v>126</v>
      </c>
      <c r="E46" s="409" t="s">
        <v>126</v>
      </c>
      <c r="F46" s="403" t="s">
        <v>126</v>
      </c>
      <c r="G46" s="409" t="s">
        <v>126</v>
      </c>
      <c r="H46" s="403" t="s">
        <v>126</v>
      </c>
      <c r="I46" s="409">
        <v>11.356999999999999</v>
      </c>
      <c r="J46" s="403" t="s">
        <v>126</v>
      </c>
      <c r="K46" s="409">
        <v>19.940000000000001</v>
      </c>
      <c r="L46" s="403">
        <f>K46/I46-1</f>
        <v>0.75574535528748821</v>
      </c>
      <c r="M46" s="409">
        <v>39.962999999999994</v>
      </c>
      <c r="N46" s="403">
        <f>M46/K46-1</f>
        <v>1.0041624874623869</v>
      </c>
      <c r="O46" s="409">
        <v>34.561</v>
      </c>
      <c r="P46" s="403">
        <f>O46/M46-1</f>
        <v>-0.13517503690914079</v>
      </c>
      <c r="Q46" s="409">
        <v>30.414000000000001</v>
      </c>
      <c r="R46" s="403">
        <f>Q46/O46-1</f>
        <v>-0.11999074100865137</v>
      </c>
      <c r="S46" s="409">
        <v>54.370000000000012</v>
      </c>
      <c r="T46" s="403">
        <f>S46/Q46-1</f>
        <v>0.78766357598474412</v>
      </c>
      <c r="U46" s="409">
        <v>63.059000000000005</v>
      </c>
      <c r="V46" s="403">
        <f>U46/S46-1</f>
        <v>0.15981239654221069</v>
      </c>
      <c r="W46" s="409">
        <v>79.142093000000017</v>
      </c>
      <c r="X46" s="403">
        <f>W46/U46-1</f>
        <v>0.2550483356856279</v>
      </c>
      <c r="Y46" s="642"/>
      <c r="Z46" s="129"/>
      <c r="AA46" s="88"/>
      <c r="AB46" s="88"/>
      <c r="AC46" s="88"/>
      <c r="AD46" s="129"/>
      <c r="AE46" s="88"/>
      <c r="AF46" s="88"/>
      <c r="AG46" s="129"/>
      <c r="AH46" s="88"/>
      <c r="AI46" s="88"/>
      <c r="AJ46" s="129"/>
      <c r="AK46" s="88"/>
      <c r="AL46" s="88"/>
      <c r="AM46" s="129"/>
      <c r="AN46" s="88"/>
      <c r="AO46" s="88"/>
      <c r="AP46" s="129"/>
      <c r="AQ46" s="88"/>
      <c r="AR46" s="88"/>
      <c r="AS46" s="129"/>
      <c r="AT46" s="88"/>
      <c r="AU46" s="88"/>
      <c r="AV46" s="129"/>
      <c r="AW46" s="88"/>
      <c r="AX46" s="88"/>
      <c r="AY46" s="129"/>
      <c r="AZ46" s="88"/>
      <c r="BA46" s="88"/>
      <c r="BB46" s="129"/>
      <c r="BC46" s="88"/>
      <c r="BD46" s="88"/>
      <c r="BE46" s="129"/>
      <c r="BF46" s="88"/>
      <c r="BG46" s="88"/>
      <c r="BH46" s="129"/>
      <c r="BI46" s="88"/>
      <c r="BJ46" s="88"/>
      <c r="BK46" s="129"/>
      <c r="BL46" s="88"/>
      <c r="BM46" s="88"/>
      <c r="BN46" s="129"/>
      <c r="BO46" s="88"/>
      <c r="BP46" s="88"/>
      <c r="BQ46" s="129"/>
      <c r="BR46" s="88"/>
      <c r="BS46" s="88"/>
      <c r="BT46" s="85"/>
      <c r="BU46" s="92"/>
      <c r="BV46" s="87"/>
      <c r="BW46" s="88"/>
    </row>
    <row r="47" spans="1:75" ht="16.2" customHeight="1" thickBot="1" x14ac:dyDescent="0.45">
      <c r="A47" s="156">
        <f t="shared" si="20"/>
        <v>21</v>
      </c>
      <c r="B47" s="145" t="s">
        <v>208</v>
      </c>
      <c r="C47" s="146" t="s">
        <v>8</v>
      </c>
      <c r="D47" s="662" t="s">
        <v>3</v>
      </c>
      <c r="E47" s="412" t="s">
        <v>3</v>
      </c>
      <c r="F47" s="413" t="s">
        <v>3</v>
      </c>
      <c r="G47" s="412" t="s">
        <v>3</v>
      </c>
      <c r="H47" s="413" t="s">
        <v>3</v>
      </c>
      <c r="I47" s="412">
        <v>1.6879999999999999</v>
      </c>
      <c r="J47" s="413" t="s">
        <v>3</v>
      </c>
      <c r="K47" s="412">
        <v>4.1630000000000003</v>
      </c>
      <c r="L47" s="413">
        <f>K47/I47-1</f>
        <v>1.4662322274881521</v>
      </c>
      <c r="M47" s="412">
        <v>9.343</v>
      </c>
      <c r="N47" s="413">
        <f>M47/K47-1</f>
        <v>1.2442949795820319</v>
      </c>
      <c r="O47" s="412">
        <v>9.2149999999999999</v>
      </c>
      <c r="P47" s="413">
        <f>O47/M47-1</f>
        <v>-1.3700096328802314E-2</v>
      </c>
      <c r="Q47" s="412">
        <v>13.621</v>
      </c>
      <c r="R47" s="413">
        <f>Q47/O47-1</f>
        <v>0.47813347802495931</v>
      </c>
      <c r="S47" s="412">
        <v>26.667000000000002</v>
      </c>
      <c r="T47" s="413">
        <f>S47/Q47-1</f>
        <v>0.95778577196975268</v>
      </c>
      <c r="U47" s="412">
        <v>45.701865999999995</v>
      </c>
      <c r="V47" s="413">
        <f>U47/S47-1</f>
        <v>0.71379855251809321</v>
      </c>
      <c r="W47" s="412">
        <v>46.938000000000002</v>
      </c>
      <c r="X47" s="413">
        <f>W47/U47-1</f>
        <v>2.7047779624578272E-2</v>
      </c>
      <c r="Y47" s="642"/>
      <c r="Z47" s="129"/>
      <c r="AA47" s="88"/>
      <c r="AB47" s="88"/>
      <c r="AC47" s="88"/>
      <c r="AD47" s="129"/>
      <c r="AE47" s="88"/>
      <c r="AF47" s="88"/>
      <c r="AG47" s="129"/>
      <c r="AH47" s="88"/>
      <c r="AI47" s="88"/>
      <c r="AJ47" s="129"/>
      <c r="AK47" s="88"/>
      <c r="AL47" s="88"/>
      <c r="AM47" s="129"/>
      <c r="AN47" s="88"/>
      <c r="AO47" s="88"/>
      <c r="AP47" s="129"/>
      <c r="AQ47" s="88"/>
      <c r="AR47" s="88"/>
      <c r="AS47" s="129"/>
      <c r="AT47" s="88"/>
      <c r="AU47" s="88"/>
      <c r="AV47" s="129"/>
      <c r="AW47" s="88"/>
      <c r="AX47" s="88"/>
      <c r="AY47" s="129"/>
      <c r="AZ47" s="88"/>
      <c r="BA47" s="88"/>
      <c r="BB47" s="129"/>
      <c r="BC47" s="88"/>
      <c r="BD47" s="88"/>
      <c r="BE47" s="129"/>
      <c r="BF47" s="88"/>
      <c r="BG47" s="88"/>
      <c r="BH47" s="129"/>
      <c r="BI47" s="88"/>
      <c r="BJ47" s="88"/>
      <c r="BK47" s="129"/>
      <c r="BL47" s="88"/>
      <c r="BM47" s="88"/>
      <c r="BN47" s="129"/>
      <c r="BO47" s="88"/>
      <c r="BP47" s="88"/>
      <c r="BQ47" s="129"/>
      <c r="BR47" s="88"/>
      <c r="BS47" s="88"/>
      <c r="BT47" s="85"/>
      <c r="BU47" s="92"/>
      <c r="BV47" s="93"/>
      <c r="BW47" s="88"/>
    </row>
    <row r="48" spans="1:75" ht="16.2" customHeight="1" thickBot="1" x14ac:dyDescent="0.45">
      <c r="B48" s="145" t="s">
        <v>368</v>
      </c>
      <c r="C48" s="146" t="s">
        <v>216</v>
      </c>
      <c r="D48" s="662">
        <v>1154.2774193548389</v>
      </c>
      <c r="E48" s="412"/>
      <c r="F48" s="413"/>
      <c r="G48" s="412"/>
      <c r="H48" s="413"/>
      <c r="I48" s="663">
        <v>1130</v>
      </c>
      <c r="J48" s="414"/>
      <c r="K48" s="663">
        <v>1101</v>
      </c>
      <c r="L48" s="414"/>
      <c r="M48" s="663">
        <v>1166</v>
      </c>
      <c r="N48" s="414"/>
      <c r="O48" s="663">
        <v>1180</v>
      </c>
      <c r="P48" s="414"/>
      <c r="Q48" s="663">
        <v>1144</v>
      </c>
      <c r="R48" s="414"/>
      <c r="S48" s="663">
        <v>1292</v>
      </c>
      <c r="T48" s="414"/>
      <c r="U48" s="663">
        <v>1305</v>
      </c>
      <c r="V48" s="414"/>
      <c r="W48" s="663">
        <v>1364</v>
      </c>
      <c r="X48" s="414"/>
      <c r="Y48" s="642"/>
      <c r="Z48" s="664"/>
      <c r="AA48" s="88"/>
      <c r="AB48" s="88"/>
      <c r="AC48" s="88"/>
      <c r="AD48" s="129"/>
      <c r="AE48" s="88"/>
      <c r="AF48" s="88"/>
      <c r="AG48" s="129"/>
      <c r="AH48" s="88"/>
      <c r="AI48" s="88"/>
      <c r="AJ48" s="129"/>
      <c r="AK48" s="88"/>
      <c r="AL48" s="88"/>
      <c r="AM48" s="129"/>
      <c r="AN48" s="88"/>
      <c r="AO48" s="88"/>
      <c r="AP48" s="129"/>
      <c r="AQ48" s="88"/>
      <c r="AR48" s="88"/>
      <c r="AS48" s="129"/>
      <c r="AT48" s="88"/>
      <c r="AU48" s="88"/>
      <c r="AV48" s="129"/>
      <c r="AW48" s="88"/>
      <c r="AX48" s="88"/>
      <c r="AY48" s="129"/>
      <c r="AZ48" s="88"/>
      <c r="BA48" s="88"/>
      <c r="BB48" s="129"/>
      <c r="BC48" s="88"/>
      <c r="BD48" s="88"/>
      <c r="BE48" s="129"/>
      <c r="BF48" s="88"/>
      <c r="BG48" s="88"/>
      <c r="BH48" s="129"/>
      <c r="BI48" s="88"/>
      <c r="BJ48" s="88"/>
      <c r="BK48" s="129"/>
      <c r="BL48" s="88"/>
      <c r="BM48" s="88"/>
      <c r="BN48" s="129"/>
      <c r="BO48" s="88"/>
      <c r="BP48" s="88"/>
      <c r="BQ48" s="129"/>
      <c r="BR48" s="88"/>
      <c r="BS48" s="88"/>
      <c r="BT48" s="85"/>
      <c r="BU48" s="92"/>
      <c r="BV48" s="93"/>
      <c r="BW48" s="88"/>
    </row>
    <row r="49" spans="1:75" s="42" customFormat="1" ht="16.2" customHeight="1" x14ac:dyDescent="0.4">
      <c r="A49" s="156"/>
      <c r="B49" s="150"/>
      <c r="C49" s="94"/>
      <c r="D49" s="665"/>
      <c r="E49" s="665"/>
      <c r="F49" s="415"/>
      <c r="G49" s="665"/>
      <c r="H49" s="415"/>
      <c r="I49" s="665"/>
      <c r="J49" s="415"/>
      <c r="K49" s="665"/>
      <c r="L49" s="415"/>
      <c r="M49" s="665"/>
      <c r="N49" s="415"/>
      <c r="O49" s="665"/>
      <c r="P49" s="415"/>
      <c r="Q49" s="665"/>
      <c r="R49" s="415"/>
      <c r="S49" s="665"/>
      <c r="T49" s="415"/>
      <c r="U49" s="665"/>
      <c r="V49" s="415"/>
      <c r="W49" s="665"/>
      <c r="X49" s="415"/>
      <c r="Y49" s="130"/>
      <c r="Z49" s="130"/>
      <c r="AD49" s="130"/>
      <c r="AG49" s="130"/>
      <c r="AJ49" s="130"/>
      <c r="AM49" s="130"/>
      <c r="AP49" s="130"/>
      <c r="AS49" s="130"/>
      <c r="AV49" s="130"/>
      <c r="AY49" s="130"/>
      <c r="BB49" s="130"/>
      <c r="BE49" s="130"/>
      <c r="BH49" s="130"/>
      <c r="BK49" s="130"/>
      <c r="BN49" s="130"/>
      <c r="BQ49" s="130"/>
      <c r="BV49" s="95"/>
    </row>
    <row r="50" spans="1:75" s="42" customFormat="1" ht="16.2" customHeight="1" x14ac:dyDescent="0.4">
      <c r="A50" s="156"/>
      <c r="B50" s="43" t="s">
        <v>203</v>
      </c>
      <c r="C50" s="44"/>
      <c r="D50" s="416"/>
      <c r="E50" s="416"/>
      <c r="F50" s="336"/>
      <c r="G50" s="416"/>
      <c r="H50" s="336"/>
      <c r="I50" s="416"/>
      <c r="J50" s="336"/>
      <c r="K50" s="416"/>
      <c r="L50" s="336"/>
      <c r="M50" s="416"/>
      <c r="N50" s="336"/>
      <c r="O50" s="416"/>
      <c r="P50" s="336"/>
      <c r="Q50" s="416"/>
      <c r="R50" s="336"/>
      <c r="S50" s="416"/>
      <c r="T50" s="336"/>
      <c r="U50" s="416"/>
      <c r="V50" s="336"/>
      <c r="W50" s="416"/>
      <c r="X50" s="336"/>
      <c r="Y50" s="131"/>
      <c r="Z50" s="131"/>
      <c r="AA50" s="11"/>
      <c r="AB50" s="11"/>
      <c r="AC50" s="11"/>
      <c r="AD50" s="131"/>
      <c r="AE50" s="11"/>
      <c r="AF50" s="11"/>
      <c r="AG50" s="131"/>
      <c r="AH50" s="11"/>
      <c r="AI50" s="11"/>
      <c r="AJ50" s="131"/>
      <c r="AK50" s="11"/>
      <c r="AL50" s="11"/>
      <c r="AM50" s="131"/>
      <c r="AN50" s="11"/>
      <c r="AO50" s="11"/>
      <c r="AP50" s="131"/>
      <c r="AQ50" s="11"/>
      <c r="AR50" s="11"/>
      <c r="AS50" s="131"/>
      <c r="AT50" s="11"/>
      <c r="AU50" s="11"/>
      <c r="AV50" s="131"/>
      <c r="AW50" s="11"/>
      <c r="AX50" s="11"/>
      <c r="AY50" s="131"/>
      <c r="AZ50" s="11"/>
      <c r="BA50" s="11"/>
      <c r="BB50" s="131"/>
      <c r="BC50" s="11"/>
      <c r="BD50" s="11"/>
      <c r="BE50" s="131"/>
      <c r="BF50" s="11"/>
      <c r="BG50" s="11"/>
      <c r="BH50" s="131"/>
      <c r="BI50" s="11"/>
      <c r="BJ50" s="11"/>
      <c r="BK50" s="131"/>
      <c r="BL50" s="11"/>
      <c r="BM50" s="11"/>
      <c r="BN50" s="131"/>
      <c r="BO50" s="11"/>
      <c r="BP50" s="11"/>
      <c r="BQ50" s="131"/>
      <c r="BR50" s="11"/>
      <c r="BS50" s="11"/>
      <c r="BW50" s="95"/>
    </row>
    <row r="51" spans="1:75" s="21" customFormat="1" ht="16.2" customHeight="1" x14ac:dyDescent="0.4">
      <c r="A51" s="159"/>
      <c r="B51" s="46" t="s">
        <v>209</v>
      </c>
      <c r="C51" s="46"/>
      <c r="D51" s="391">
        <v>2014</v>
      </c>
      <c r="E51" s="391">
        <v>2015</v>
      </c>
      <c r="F51" s="393"/>
      <c r="G51" s="391">
        <f>G27</f>
        <v>2016</v>
      </c>
      <c r="H51" s="393"/>
      <c r="I51" s="391">
        <f>I27</f>
        <v>2017</v>
      </c>
      <c r="J51" s="393"/>
      <c r="K51" s="391">
        <f>K27</f>
        <v>2018</v>
      </c>
      <c r="L51" s="393"/>
      <c r="M51" s="391">
        <f>M27</f>
        <v>2019</v>
      </c>
      <c r="N51" s="393"/>
      <c r="O51" s="391">
        <f>O27</f>
        <v>2020</v>
      </c>
      <c r="P51" s="393"/>
      <c r="Q51" s="391">
        <v>2021</v>
      </c>
      <c r="R51" s="393"/>
      <c r="S51" s="391">
        <v>2022</v>
      </c>
      <c r="T51" s="393"/>
      <c r="U51" s="391">
        <v>2023</v>
      </c>
      <c r="V51" s="393"/>
      <c r="W51" s="391">
        <v>2024</v>
      </c>
      <c r="X51" s="393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44"/>
      <c r="BU51" s="12"/>
      <c r="BV51" s="12"/>
      <c r="BW51" s="12"/>
    </row>
    <row r="52" spans="1:75" s="21" customFormat="1" ht="16.2" customHeight="1" x14ac:dyDescent="0.4">
      <c r="A52" s="157"/>
      <c r="B52" s="76" t="s">
        <v>351</v>
      </c>
      <c r="C52" s="77" t="s">
        <v>360</v>
      </c>
      <c r="D52" s="666" t="s">
        <v>3</v>
      </c>
      <c r="E52" s="132" t="s">
        <v>3</v>
      </c>
      <c r="F52" s="408" t="s">
        <v>3</v>
      </c>
      <c r="G52" s="132" t="s">
        <v>3</v>
      </c>
      <c r="H52" s="408" t="s">
        <v>3</v>
      </c>
      <c r="I52" s="132">
        <f t="shared" ref="I52:I63" si="21">I28/I$44</f>
        <v>0.59943214408626821</v>
      </c>
      <c r="J52" s="408"/>
      <c r="K52" s="132">
        <f t="shared" ref="K52:K63" si="22">K28/K$44</f>
        <v>0.52789536867378528</v>
      </c>
      <c r="L52" s="408"/>
      <c r="M52" s="132">
        <f t="shared" ref="M52:M63" si="23">M28/M$44</f>
        <v>0.45335436875254209</v>
      </c>
      <c r="N52" s="408"/>
      <c r="O52" s="132">
        <f t="shared" ref="O52:O63" si="24">O28/O$44</f>
        <v>0.430755548580322</v>
      </c>
      <c r="P52" s="408"/>
      <c r="Q52" s="132">
        <v>0.46613581461930748</v>
      </c>
      <c r="R52" s="408"/>
      <c r="S52" s="132">
        <v>0.52355732953463607</v>
      </c>
      <c r="T52" s="408"/>
      <c r="U52" s="132">
        <v>0.49954475300074397</v>
      </c>
      <c r="V52" s="408"/>
      <c r="W52" s="132">
        <v>0.45837288310052121</v>
      </c>
      <c r="X52" s="408"/>
      <c r="Y52" s="133"/>
      <c r="Z52" s="133"/>
      <c r="AA52" s="52"/>
      <c r="AB52" s="52"/>
      <c r="AC52" s="52"/>
      <c r="AD52" s="133"/>
      <c r="AE52" s="52"/>
      <c r="AF52" s="52"/>
      <c r="AG52" s="133"/>
      <c r="AH52" s="52"/>
      <c r="AI52" s="52"/>
      <c r="AJ52" s="133"/>
      <c r="AK52" s="52"/>
      <c r="AL52" s="52"/>
      <c r="AM52" s="133"/>
      <c r="AN52" s="52"/>
      <c r="AO52" s="52"/>
      <c r="AP52" s="133"/>
      <c r="AQ52" s="52"/>
      <c r="AR52" s="52"/>
      <c r="AS52" s="133"/>
      <c r="AT52" s="52"/>
      <c r="AU52" s="52"/>
      <c r="AV52" s="133"/>
      <c r="AW52" s="52"/>
      <c r="AX52" s="52"/>
      <c r="AY52" s="133"/>
      <c r="AZ52" s="52"/>
      <c r="BA52" s="52"/>
      <c r="BB52" s="133"/>
      <c r="BC52" s="52"/>
      <c r="BD52" s="52"/>
      <c r="BE52" s="133"/>
      <c r="BF52" s="52"/>
      <c r="BG52" s="52"/>
      <c r="BH52" s="133"/>
      <c r="BI52" s="52"/>
      <c r="BJ52" s="52"/>
      <c r="BK52" s="133"/>
      <c r="BL52" s="52"/>
      <c r="BM52" s="52"/>
      <c r="BN52" s="133"/>
      <c r="BO52" s="52"/>
      <c r="BP52" s="52"/>
      <c r="BQ52" s="133"/>
      <c r="BR52" s="52"/>
      <c r="BS52" s="52"/>
      <c r="BT52" s="63"/>
      <c r="BU52" s="64"/>
      <c r="BV52" s="57"/>
      <c r="BW52" s="52"/>
    </row>
    <row r="53" spans="1:75" s="89" customFormat="1" ht="16.2" customHeight="1" x14ac:dyDescent="0.4">
      <c r="A53" s="160"/>
      <c r="B53" s="83" t="s">
        <v>204</v>
      </c>
      <c r="C53" s="84" t="s">
        <v>406</v>
      </c>
      <c r="D53" s="667" t="s">
        <v>126</v>
      </c>
      <c r="E53" s="417" t="s">
        <v>126</v>
      </c>
      <c r="F53" s="403" t="s">
        <v>126</v>
      </c>
      <c r="G53" s="417" t="s">
        <v>126</v>
      </c>
      <c r="H53" s="403" t="s">
        <v>126</v>
      </c>
      <c r="I53" s="417">
        <f t="shared" si="21"/>
        <v>0.39577836411609496</v>
      </c>
      <c r="J53" s="403"/>
      <c r="K53" s="417">
        <f t="shared" si="22"/>
        <v>0.31210378888397466</v>
      </c>
      <c r="L53" s="403"/>
      <c r="M53" s="417">
        <f t="shared" si="23"/>
        <v>0.24219491452306705</v>
      </c>
      <c r="N53" s="403"/>
      <c r="O53" s="417">
        <f t="shared" si="24"/>
        <v>0.26888217522658614</v>
      </c>
      <c r="P53" s="403"/>
      <c r="Q53" s="417">
        <v>0.36347459564780848</v>
      </c>
      <c r="R53" s="403"/>
      <c r="S53" s="417">
        <v>0.31240523825306937</v>
      </c>
      <c r="T53" s="403"/>
      <c r="U53" s="417">
        <v>0.35063456990262154</v>
      </c>
      <c r="V53" s="403"/>
      <c r="W53" s="417">
        <v>0.34873482672123368</v>
      </c>
      <c r="X53" s="403"/>
      <c r="Y53" s="134"/>
      <c r="Z53" s="134"/>
      <c r="AA53" s="88"/>
      <c r="AB53" s="88"/>
      <c r="AC53" s="88"/>
      <c r="AD53" s="134"/>
      <c r="AE53" s="88"/>
      <c r="AF53" s="88"/>
      <c r="AG53" s="134"/>
      <c r="AH53" s="88"/>
      <c r="AI53" s="88"/>
      <c r="AJ53" s="134"/>
      <c r="AK53" s="88"/>
      <c r="AL53" s="88"/>
      <c r="AM53" s="134"/>
      <c r="AN53" s="88"/>
      <c r="AO53" s="88"/>
      <c r="AP53" s="134"/>
      <c r="AQ53" s="88"/>
      <c r="AR53" s="88"/>
      <c r="AS53" s="134"/>
      <c r="AT53" s="88"/>
      <c r="AU53" s="88"/>
      <c r="AV53" s="134"/>
      <c r="AW53" s="88"/>
      <c r="AX53" s="88"/>
      <c r="AY53" s="134"/>
      <c r="AZ53" s="88"/>
      <c r="BA53" s="88"/>
      <c r="BB53" s="134"/>
      <c r="BC53" s="88"/>
      <c r="BD53" s="88"/>
      <c r="BE53" s="134"/>
      <c r="BF53" s="88"/>
      <c r="BG53" s="88"/>
      <c r="BH53" s="134"/>
      <c r="BI53" s="88"/>
      <c r="BJ53" s="88"/>
      <c r="BK53" s="134"/>
      <c r="BL53" s="88"/>
      <c r="BM53" s="88"/>
      <c r="BN53" s="134"/>
      <c r="BO53" s="88"/>
      <c r="BP53" s="88"/>
      <c r="BQ53" s="134"/>
      <c r="BR53" s="88"/>
      <c r="BS53" s="88"/>
      <c r="BT53" s="85"/>
      <c r="BU53" s="86"/>
      <c r="BV53" s="87"/>
      <c r="BW53" s="88"/>
    </row>
    <row r="54" spans="1:75" s="89" customFormat="1" ht="16.2" customHeight="1" x14ac:dyDescent="0.4">
      <c r="A54" s="160"/>
      <c r="B54" s="83" t="s">
        <v>205</v>
      </c>
      <c r="C54" s="84" t="s">
        <v>407</v>
      </c>
      <c r="D54" s="667" t="s">
        <v>126</v>
      </c>
      <c r="E54" s="417" t="s">
        <v>126</v>
      </c>
      <c r="F54" s="403" t="s">
        <v>126</v>
      </c>
      <c r="G54" s="417" t="s">
        <v>126</v>
      </c>
      <c r="H54" s="403" t="s">
        <v>126</v>
      </c>
      <c r="I54" s="417">
        <f t="shared" si="21"/>
        <v>0.20368245956177583</v>
      </c>
      <c r="J54" s="403"/>
      <c r="K54" s="417">
        <f t="shared" si="22"/>
        <v>0.21579157978981067</v>
      </c>
      <c r="L54" s="403"/>
      <c r="M54" s="417">
        <f t="shared" si="23"/>
        <v>0.2111717796704177</v>
      </c>
      <c r="N54" s="403"/>
      <c r="O54" s="417">
        <f t="shared" si="24"/>
        <v>0.16187337335373592</v>
      </c>
      <c r="P54" s="403"/>
      <c r="Q54" s="417">
        <v>0.102661218971499</v>
      </c>
      <c r="R54" s="403"/>
      <c r="S54" s="417">
        <v>0.2111520912815667</v>
      </c>
      <c r="T54" s="403"/>
      <c r="U54" s="417">
        <v>0.1489101830981224</v>
      </c>
      <c r="V54" s="403"/>
      <c r="W54" s="417">
        <v>0.10963805637928746</v>
      </c>
      <c r="X54" s="403"/>
      <c r="Y54" s="134"/>
      <c r="Z54" s="134"/>
      <c r="AA54" s="88"/>
      <c r="AB54" s="88"/>
      <c r="AC54" s="88"/>
      <c r="AD54" s="134"/>
      <c r="AE54" s="88"/>
      <c r="AF54" s="88"/>
      <c r="AG54" s="134"/>
      <c r="AH54" s="88"/>
      <c r="AI54" s="88"/>
      <c r="AJ54" s="134"/>
      <c r="AK54" s="88"/>
      <c r="AL54" s="88"/>
      <c r="AM54" s="134"/>
      <c r="AN54" s="88"/>
      <c r="AO54" s="88"/>
      <c r="AP54" s="134"/>
      <c r="AQ54" s="88"/>
      <c r="AR54" s="88"/>
      <c r="AS54" s="134"/>
      <c r="AT54" s="88"/>
      <c r="AU54" s="88"/>
      <c r="AV54" s="134"/>
      <c r="AW54" s="88"/>
      <c r="AX54" s="88"/>
      <c r="AY54" s="134"/>
      <c r="AZ54" s="88"/>
      <c r="BA54" s="88"/>
      <c r="BB54" s="134"/>
      <c r="BC54" s="88"/>
      <c r="BD54" s="88"/>
      <c r="BE54" s="134"/>
      <c r="BF54" s="88"/>
      <c r="BG54" s="88"/>
      <c r="BH54" s="134"/>
      <c r="BI54" s="88"/>
      <c r="BJ54" s="88"/>
      <c r="BK54" s="134"/>
      <c r="BL54" s="88"/>
      <c r="BM54" s="88"/>
      <c r="BN54" s="134"/>
      <c r="BO54" s="88"/>
      <c r="BP54" s="88"/>
      <c r="BQ54" s="134"/>
      <c r="BR54" s="88"/>
      <c r="BS54" s="88"/>
      <c r="BT54" s="85"/>
      <c r="BU54" s="86"/>
      <c r="BV54" s="87"/>
      <c r="BW54" s="88"/>
    </row>
    <row r="55" spans="1:75" s="21" customFormat="1" ht="16.2" customHeight="1" x14ac:dyDescent="0.4">
      <c r="A55" s="157"/>
      <c r="B55" s="76" t="s">
        <v>353</v>
      </c>
      <c r="C55" s="77" t="s">
        <v>361</v>
      </c>
      <c r="D55" s="666" t="s">
        <v>126</v>
      </c>
      <c r="E55" s="132" t="s">
        <v>126</v>
      </c>
      <c r="F55" s="408" t="s">
        <v>126</v>
      </c>
      <c r="G55" s="132" t="s">
        <v>126</v>
      </c>
      <c r="H55" s="408" t="s">
        <v>126</v>
      </c>
      <c r="I55" s="132">
        <f t="shared" si="21"/>
        <v>0.11121945623494321</v>
      </c>
      <c r="J55" s="408"/>
      <c r="K55" s="132">
        <f t="shared" si="22"/>
        <v>0.11305574861523557</v>
      </c>
      <c r="L55" s="408"/>
      <c r="M55" s="132">
        <f t="shared" si="23"/>
        <v>8.1163028607348434E-2</v>
      </c>
      <c r="N55" s="408"/>
      <c r="O55" s="132">
        <f t="shared" si="24"/>
        <v>5.7414891251749256E-2</v>
      </c>
      <c r="P55" s="408"/>
      <c r="Q55" s="132">
        <v>7.2003022079071111E-2</v>
      </c>
      <c r="R55" s="408"/>
      <c r="S55" s="132">
        <v>5.5309126041056964E-2</v>
      </c>
      <c r="T55" s="408"/>
      <c r="U55" s="132">
        <v>2.8286383673288104E-2</v>
      </c>
      <c r="V55" s="408"/>
      <c r="W55" s="132">
        <v>2.0126440129816261E-2</v>
      </c>
      <c r="X55" s="408"/>
      <c r="Y55" s="133"/>
      <c r="Z55" s="133"/>
      <c r="AA55" s="88"/>
      <c r="AB55" s="52"/>
      <c r="AC55" s="52"/>
      <c r="AD55" s="133"/>
      <c r="AE55" s="52"/>
      <c r="AF55" s="52"/>
      <c r="AG55" s="133"/>
      <c r="AH55" s="52"/>
      <c r="AI55" s="52"/>
      <c r="AJ55" s="133"/>
      <c r="AK55" s="52"/>
      <c r="AL55" s="52"/>
      <c r="AM55" s="133"/>
      <c r="AN55" s="52"/>
      <c r="AO55" s="52"/>
      <c r="AP55" s="133"/>
      <c r="AQ55" s="52"/>
      <c r="AR55" s="52"/>
      <c r="AS55" s="133"/>
      <c r="AT55" s="52"/>
      <c r="AU55" s="52"/>
      <c r="AV55" s="133"/>
      <c r="AW55" s="52"/>
      <c r="AX55" s="52"/>
      <c r="AY55" s="133"/>
      <c r="AZ55" s="52"/>
      <c r="BA55" s="52"/>
      <c r="BB55" s="133"/>
      <c r="BC55" s="52"/>
      <c r="BD55" s="52"/>
      <c r="BE55" s="133"/>
      <c r="BF55" s="52"/>
      <c r="BG55" s="52"/>
      <c r="BH55" s="133"/>
      <c r="BI55" s="52"/>
      <c r="BJ55" s="52"/>
      <c r="BK55" s="133"/>
      <c r="BL55" s="52"/>
      <c r="BM55" s="52"/>
      <c r="BN55" s="133"/>
      <c r="BO55" s="52"/>
      <c r="BP55" s="52"/>
      <c r="BQ55" s="133"/>
      <c r="BR55" s="52"/>
      <c r="BS55" s="52"/>
      <c r="BT55" s="63"/>
      <c r="BU55" s="64"/>
      <c r="BV55" s="57"/>
      <c r="BW55" s="52"/>
    </row>
    <row r="56" spans="1:75" s="89" customFormat="1" ht="16.2" customHeight="1" x14ac:dyDescent="0.4">
      <c r="A56" s="160"/>
      <c r="B56" s="83" t="s">
        <v>204</v>
      </c>
      <c r="C56" s="84" t="s">
        <v>406</v>
      </c>
      <c r="D56" s="667" t="s">
        <v>126</v>
      </c>
      <c r="E56" s="417" t="s">
        <v>126</v>
      </c>
      <c r="F56" s="403" t="s">
        <v>126</v>
      </c>
      <c r="G56" s="417" t="s">
        <v>126</v>
      </c>
      <c r="H56" s="403" t="s">
        <v>126</v>
      </c>
      <c r="I56" s="417">
        <f t="shared" si="21"/>
        <v>8.615349317425719E-2</v>
      </c>
      <c r="J56" s="403"/>
      <c r="K56" s="417">
        <f t="shared" si="22"/>
        <v>8.2896316421305363E-2</v>
      </c>
      <c r="L56" s="403"/>
      <c r="M56" s="417">
        <f t="shared" si="23"/>
        <v>6.6705286381620307E-2</v>
      </c>
      <c r="N56" s="403"/>
      <c r="O56" s="417">
        <f t="shared" si="24"/>
        <v>4.6533526896064659E-2</v>
      </c>
      <c r="P56" s="403"/>
      <c r="Q56" s="417">
        <v>6.3831479327587412E-2</v>
      </c>
      <c r="R56" s="403"/>
      <c r="S56" s="417">
        <v>5.196646051211893E-2</v>
      </c>
      <c r="T56" s="403"/>
      <c r="U56" s="417">
        <v>2.648205105428543E-2</v>
      </c>
      <c r="V56" s="403"/>
      <c r="W56" s="417">
        <v>1.8619533991335292E-2</v>
      </c>
      <c r="X56" s="403"/>
      <c r="Y56" s="134"/>
      <c r="Z56" s="134"/>
      <c r="AA56" s="88"/>
      <c r="AC56" s="88"/>
      <c r="AD56" s="134"/>
      <c r="AE56" s="88"/>
      <c r="AF56" s="88"/>
      <c r="AG56" s="134"/>
      <c r="AH56" s="88"/>
      <c r="AI56" s="88"/>
      <c r="AJ56" s="134"/>
      <c r="AK56" s="88"/>
      <c r="AL56" s="88"/>
      <c r="AM56" s="134"/>
      <c r="AN56" s="88"/>
      <c r="AO56" s="88"/>
      <c r="AP56" s="134"/>
      <c r="AQ56" s="88"/>
      <c r="AR56" s="88"/>
      <c r="AS56" s="134"/>
      <c r="AT56" s="88"/>
      <c r="AU56" s="88"/>
      <c r="AV56" s="134"/>
      <c r="AW56" s="88"/>
      <c r="AX56" s="88"/>
      <c r="AY56" s="134"/>
      <c r="AZ56" s="88"/>
      <c r="BA56" s="88"/>
      <c r="BB56" s="134"/>
      <c r="BC56" s="88"/>
      <c r="BD56" s="88"/>
      <c r="BE56" s="134"/>
      <c r="BF56" s="88"/>
      <c r="BG56" s="88"/>
      <c r="BH56" s="134"/>
      <c r="BI56" s="88"/>
      <c r="BJ56" s="88"/>
      <c r="BK56" s="134"/>
      <c r="BL56" s="88"/>
      <c r="BM56" s="88"/>
      <c r="BN56" s="134"/>
      <c r="BO56" s="88"/>
      <c r="BP56" s="88"/>
      <c r="BQ56" s="134"/>
      <c r="BR56" s="88"/>
      <c r="BS56" s="88"/>
      <c r="BT56" s="85"/>
      <c r="BU56" s="86"/>
      <c r="BV56" s="87"/>
      <c r="BW56" s="88"/>
    </row>
    <row r="57" spans="1:75" s="89" customFormat="1" ht="16.2" customHeight="1" x14ac:dyDescent="0.4">
      <c r="A57" s="160"/>
      <c r="B57" s="83" t="s">
        <v>205</v>
      </c>
      <c r="C57" s="84" t="s">
        <v>407</v>
      </c>
      <c r="D57" s="667" t="s">
        <v>126</v>
      </c>
      <c r="E57" s="417" t="s">
        <v>126</v>
      </c>
      <c r="F57" s="403" t="s">
        <v>126</v>
      </c>
      <c r="G57" s="417" t="s">
        <v>126</v>
      </c>
      <c r="H57" s="403" t="s">
        <v>126</v>
      </c>
      <c r="I57" s="417">
        <f t="shared" si="21"/>
        <v>2.4951244694275555E-2</v>
      </c>
      <c r="J57" s="403"/>
      <c r="K57" s="417">
        <f t="shared" si="22"/>
        <v>3.0159432193930202E-2</v>
      </c>
      <c r="L57" s="403"/>
      <c r="M57" s="417">
        <f t="shared" si="23"/>
        <v>1.4470067666670776E-2</v>
      </c>
      <c r="N57" s="403"/>
      <c r="O57" s="417">
        <f t="shared" si="24"/>
        <v>1.0881364355684597E-2</v>
      </c>
      <c r="P57" s="403"/>
      <c r="Q57" s="417">
        <v>8.1715427514837003E-3</v>
      </c>
      <c r="R57" s="403"/>
      <c r="S57" s="417">
        <v>3.3426655289380343E-3</v>
      </c>
      <c r="T57" s="403"/>
      <c r="U57" s="417">
        <v>1.8043326190026762E-3</v>
      </c>
      <c r="V57" s="403"/>
      <c r="W57" s="417">
        <v>1.5069061384809688E-3</v>
      </c>
      <c r="X57" s="403"/>
      <c r="Y57" s="134"/>
      <c r="Z57" s="134"/>
      <c r="AA57" s="88"/>
      <c r="AB57" s="88"/>
      <c r="AC57" s="88"/>
      <c r="AD57" s="134"/>
      <c r="AE57" s="88"/>
      <c r="AF57" s="88"/>
      <c r="AG57" s="134"/>
      <c r="AH57" s="88"/>
      <c r="AI57" s="88"/>
      <c r="AJ57" s="134"/>
      <c r="AK57" s="88"/>
      <c r="AL57" s="88"/>
      <c r="AM57" s="134"/>
      <c r="AN57" s="88"/>
      <c r="AO57" s="88"/>
      <c r="AP57" s="134"/>
      <c r="AQ57" s="88"/>
      <c r="AR57" s="88"/>
      <c r="AS57" s="134"/>
      <c r="AT57" s="88"/>
      <c r="AU57" s="88"/>
      <c r="AV57" s="134"/>
      <c r="AW57" s="88"/>
      <c r="AX57" s="88"/>
      <c r="AY57" s="134"/>
      <c r="AZ57" s="88"/>
      <c r="BA57" s="88"/>
      <c r="BB57" s="134"/>
      <c r="BC57" s="88"/>
      <c r="BD57" s="88"/>
      <c r="BE57" s="134"/>
      <c r="BF57" s="88"/>
      <c r="BG57" s="88"/>
      <c r="BH57" s="134"/>
      <c r="BI57" s="88"/>
      <c r="BJ57" s="88"/>
      <c r="BK57" s="134"/>
      <c r="BL57" s="88"/>
      <c r="BM57" s="88"/>
      <c r="BN57" s="134"/>
      <c r="BO57" s="88"/>
      <c r="BP57" s="88"/>
      <c r="BQ57" s="134"/>
      <c r="BR57" s="88"/>
      <c r="BS57" s="88"/>
      <c r="BT57" s="85"/>
      <c r="BU57" s="86"/>
      <c r="BV57" s="87"/>
      <c r="BW57" s="88"/>
    </row>
    <row r="58" spans="1:75" s="21" customFormat="1" ht="16.2" customHeight="1" x14ac:dyDescent="0.4">
      <c r="A58" s="157"/>
      <c r="B58" s="76" t="s">
        <v>206</v>
      </c>
      <c r="C58" s="77" t="s">
        <v>362</v>
      </c>
      <c r="D58" s="666" t="s">
        <v>126</v>
      </c>
      <c r="E58" s="132" t="s">
        <v>126</v>
      </c>
      <c r="F58" s="408" t="s">
        <v>126</v>
      </c>
      <c r="G58" s="132" t="s">
        <v>126</v>
      </c>
      <c r="H58" s="408" t="s">
        <v>126</v>
      </c>
      <c r="I58" s="132">
        <f t="shared" si="21"/>
        <v>0.26462659171733394</v>
      </c>
      <c r="J58" s="408"/>
      <c r="K58" s="132">
        <f t="shared" si="22"/>
        <v>0.32991301783871441</v>
      </c>
      <c r="L58" s="408"/>
      <c r="M58" s="132">
        <f t="shared" si="23"/>
        <v>0.43145206019745364</v>
      </c>
      <c r="N58" s="408"/>
      <c r="O58" s="132">
        <f t="shared" si="24"/>
        <v>0.4936765148245511</v>
      </c>
      <c r="P58" s="408"/>
      <c r="Q58" s="132">
        <v>0.45050848468581312</v>
      </c>
      <c r="R58" s="408"/>
      <c r="S58" s="132">
        <v>0.39214967243288229</v>
      </c>
      <c r="T58" s="408"/>
      <c r="U58" s="132">
        <v>0.44993393366718121</v>
      </c>
      <c r="V58" s="408"/>
      <c r="W58" s="132">
        <v>0.45071202344350697</v>
      </c>
      <c r="X58" s="408"/>
      <c r="Y58" s="133"/>
      <c r="Z58" s="133"/>
      <c r="AA58" s="52"/>
      <c r="AB58" s="52"/>
      <c r="AC58" s="52"/>
      <c r="AD58" s="133"/>
      <c r="AE58" s="52"/>
      <c r="AF58" s="52"/>
      <c r="AG58" s="133"/>
      <c r="AH58" s="52"/>
      <c r="AI58" s="52"/>
      <c r="AJ58" s="133"/>
      <c r="AK58" s="52"/>
      <c r="AL58" s="52"/>
      <c r="AM58" s="133"/>
      <c r="AN58" s="52"/>
      <c r="AO58" s="52"/>
      <c r="AP58" s="133"/>
      <c r="AQ58" s="52"/>
      <c r="AR58" s="52"/>
      <c r="AS58" s="133"/>
      <c r="AT58" s="52"/>
      <c r="AU58" s="52"/>
      <c r="AV58" s="133"/>
      <c r="AW58" s="52"/>
      <c r="AX58" s="52"/>
      <c r="AY58" s="133"/>
      <c r="AZ58" s="52"/>
      <c r="BA58" s="52"/>
      <c r="BB58" s="133"/>
      <c r="BC58" s="52"/>
      <c r="BD58" s="52"/>
      <c r="BE58" s="133"/>
      <c r="BF58" s="52"/>
      <c r="BG58" s="52"/>
      <c r="BH58" s="133"/>
      <c r="BI58" s="52"/>
      <c r="BJ58" s="52"/>
      <c r="BK58" s="133"/>
      <c r="BL58" s="52"/>
      <c r="BM58" s="52"/>
      <c r="BN58" s="133"/>
      <c r="BO58" s="52"/>
      <c r="BP58" s="52"/>
      <c r="BQ58" s="133"/>
      <c r="BR58" s="52"/>
      <c r="BS58" s="52"/>
      <c r="BT58" s="63"/>
      <c r="BU58" s="64"/>
      <c r="BV58" s="57"/>
      <c r="BW58" s="52"/>
    </row>
    <row r="59" spans="1:75" s="89" customFormat="1" ht="16.2" customHeight="1" x14ac:dyDescent="0.4">
      <c r="A59" s="160"/>
      <c r="B59" s="83" t="s">
        <v>204</v>
      </c>
      <c r="C59" s="84" t="s">
        <v>406</v>
      </c>
      <c r="D59" s="667" t="s">
        <v>126</v>
      </c>
      <c r="E59" s="417" t="s">
        <v>126</v>
      </c>
      <c r="F59" s="403" t="s">
        <v>126</v>
      </c>
      <c r="G59" s="417" t="s">
        <v>126</v>
      </c>
      <c r="H59" s="403" t="s">
        <v>126</v>
      </c>
      <c r="I59" s="417">
        <f t="shared" si="21"/>
        <v>0.17878857405070553</v>
      </c>
      <c r="J59" s="403"/>
      <c r="K59" s="417">
        <f t="shared" si="22"/>
        <v>0.16483646090014953</v>
      </c>
      <c r="L59" s="403"/>
      <c r="M59" s="417">
        <f t="shared" si="23"/>
        <v>0.18048143172321993</v>
      </c>
      <c r="N59" s="403"/>
      <c r="O59" s="417">
        <f t="shared" si="24"/>
        <v>0.22215246988660886</v>
      </c>
      <c r="P59" s="403"/>
      <c r="Q59" s="417">
        <v>0.26568449096855645</v>
      </c>
      <c r="R59" s="403"/>
      <c r="S59" s="417">
        <v>0.24467042305169848</v>
      </c>
      <c r="T59" s="403"/>
      <c r="U59" s="417">
        <v>0.26525355037141496</v>
      </c>
      <c r="V59" s="403"/>
      <c r="W59" s="417">
        <v>0.2655466909308748</v>
      </c>
      <c r="X59" s="403"/>
      <c r="Y59" s="134"/>
      <c r="Z59" s="134"/>
      <c r="AA59" s="88"/>
      <c r="AB59" s="88"/>
      <c r="AC59" s="88"/>
      <c r="AD59" s="134"/>
      <c r="AE59" s="88"/>
      <c r="AF59" s="88"/>
      <c r="AG59" s="134"/>
      <c r="AH59" s="88"/>
      <c r="AI59" s="88"/>
      <c r="AJ59" s="134"/>
      <c r="AK59" s="88"/>
      <c r="AL59" s="88"/>
      <c r="AM59" s="134"/>
      <c r="AN59" s="88"/>
      <c r="AO59" s="88"/>
      <c r="AP59" s="134"/>
      <c r="AQ59" s="88"/>
      <c r="AR59" s="88"/>
      <c r="AS59" s="134"/>
      <c r="AT59" s="88"/>
      <c r="AU59" s="88"/>
      <c r="AV59" s="134"/>
      <c r="AW59" s="88"/>
      <c r="AX59" s="88"/>
      <c r="AY59" s="134"/>
      <c r="AZ59" s="88"/>
      <c r="BA59" s="88"/>
      <c r="BB59" s="134"/>
      <c r="BC59" s="88"/>
      <c r="BD59" s="88"/>
      <c r="BE59" s="134"/>
      <c r="BF59" s="88"/>
      <c r="BG59" s="88"/>
      <c r="BH59" s="134"/>
      <c r="BI59" s="88"/>
      <c r="BJ59" s="88"/>
      <c r="BK59" s="134"/>
      <c r="BL59" s="88"/>
      <c r="BM59" s="88"/>
      <c r="BN59" s="134"/>
      <c r="BO59" s="88"/>
      <c r="BP59" s="88"/>
      <c r="BQ59" s="134"/>
      <c r="BR59" s="88"/>
      <c r="BS59" s="88"/>
      <c r="BT59" s="85"/>
      <c r="BU59" s="86"/>
      <c r="BV59" s="87"/>
      <c r="BW59" s="88"/>
    </row>
    <row r="60" spans="1:75" s="89" customFormat="1" ht="16.2" customHeight="1" x14ac:dyDescent="0.4">
      <c r="A60" s="160"/>
      <c r="B60" s="83" t="s">
        <v>205</v>
      </c>
      <c r="C60" s="84" t="s">
        <v>407</v>
      </c>
      <c r="D60" s="667" t="s">
        <v>126</v>
      </c>
      <c r="E60" s="417" t="s">
        <v>126</v>
      </c>
      <c r="F60" s="403" t="s">
        <v>126</v>
      </c>
      <c r="G60" s="417" t="s">
        <v>126</v>
      </c>
      <c r="H60" s="403" t="s">
        <v>126</v>
      </c>
      <c r="I60" s="417">
        <f t="shared" si="21"/>
        <v>8.5838017666628436E-2</v>
      </c>
      <c r="J60" s="403"/>
      <c r="K60" s="417">
        <f t="shared" si="22"/>
        <v>0.16507655693856491</v>
      </c>
      <c r="L60" s="403"/>
      <c r="M60" s="417">
        <f t="shared" si="23"/>
        <v>0.25097062847423368</v>
      </c>
      <c r="N60" s="403"/>
      <c r="O60" s="417">
        <f t="shared" si="24"/>
        <v>0.27152404493794219</v>
      </c>
      <c r="P60" s="403"/>
      <c r="Q60" s="417">
        <v>0.18482399371725666</v>
      </c>
      <c r="R60" s="403"/>
      <c r="S60" s="417">
        <v>0.14747924938118376</v>
      </c>
      <c r="T60" s="403"/>
      <c r="U60" s="417">
        <v>0.18468038329576622</v>
      </c>
      <c r="V60" s="403"/>
      <c r="W60" s="417">
        <v>0.1851653325126322</v>
      </c>
      <c r="X60" s="403"/>
      <c r="Y60" s="134"/>
      <c r="Z60" s="134"/>
      <c r="AA60" s="88"/>
      <c r="AB60" s="88"/>
      <c r="AC60" s="88"/>
      <c r="AD60" s="134"/>
      <c r="AE60" s="88"/>
      <c r="AF60" s="88"/>
      <c r="AG60" s="134"/>
      <c r="AH60" s="88"/>
      <c r="AI60" s="88"/>
      <c r="AJ60" s="134"/>
      <c r="AK60" s="88"/>
      <c r="AL60" s="88"/>
      <c r="AM60" s="134"/>
      <c r="AN60" s="88"/>
      <c r="AO60" s="88"/>
      <c r="AP60" s="134"/>
      <c r="AQ60" s="88"/>
      <c r="AR60" s="88"/>
      <c r="AS60" s="134"/>
      <c r="AT60" s="88"/>
      <c r="AU60" s="88"/>
      <c r="AV60" s="134"/>
      <c r="AW60" s="88"/>
      <c r="AX60" s="88"/>
      <c r="AY60" s="134"/>
      <c r="AZ60" s="88"/>
      <c r="BA60" s="88"/>
      <c r="BB60" s="134"/>
      <c r="BC60" s="88"/>
      <c r="BD60" s="88"/>
      <c r="BE60" s="134"/>
      <c r="BF60" s="88"/>
      <c r="BG60" s="88"/>
      <c r="BH60" s="134"/>
      <c r="BI60" s="88"/>
      <c r="BJ60" s="88"/>
      <c r="BK60" s="134"/>
      <c r="BL60" s="88"/>
      <c r="BM60" s="88"/>
      <c r="BN60" s="134"/>
      <c r="BO60" s="88"/>
      <c r="BP60" s="88"/>
      <c r="BQ60" s="134"/>
      <c r="BR60" s="88"/>
      <c r="BS60" s="88"/>
      <c r="BT60" s="85"/>
      <c r="BU60" s="86"/>
      <c r="BV60" s="87"/>
      <c r="BW60" s="88"/>
    </row>
    <row r="61" spans="1:75" s="21" customFormat="1" ht="16.2" customHeight="1" x14ac:dyDescent="0.4">
      <c r="A61" s="157"/>
      <c r="B61" s="76" t="s">
        <v>363</v>
      </c>
      <c r="C61" s="77" t="s">
        <v>364</v>
      </c>
      <c r="D61" s="666" t="s">
        <v>126</v>
      </c>
      <c r="E61" s="132" t="s">
        <v>126</v>
      </c>
      <c r="F61" s="408" t="s">
        <v>126</v>
      </c>
      <c r="G61" s="132" t="s">
        <v>126</v>
      </c>
      <c r="H61" s="408" t="s">
        <v>126</v>
      </c>
      <c r="I61" s="132">
        <f t="shared" si="21"/>
        <v>2.4607089595044165E-2</v>
      </c>
      <c r="J61" s="408"/>
      <c r="K61" s="132">
        <f t="shared" si="22"/>
        <v>2.9106379393862805E-2</v>
      </c>
      <c r="L61" s="408"/>
      <c r="M61" s="132">
        <f t="shared" si="23"/>
        <v>3.4005891560770586E-2</v>
      </c>
      <c r="N61" s="408"/>
      <c r="O61" s="132">
        <f t="shared" si="24"/>
        <v>1.815304534337767E-2</v>
      </c>
      <c r="P61" s="408"/>
      <c r="Q61" s="132">
        <v>1.1352678615808257E-2</v>
      </c>
      <c r="R61" s="408"/>
      <c r="S61" s="132">
        <v>1.378673229762417E-2</v>
      </c>
      <c r="T61" s="408"/>
      <c r="U61" s="132">
        <v>1.3490856197466164E-2</v>
      </c>
      <c r="V61" s="408"/>
      <c r="W61" s="132">
        <v>1.8518509521608769E-2</v>
      </c>
      <c r="X61" s="408"/>
      <c r="Y61" s="133"/>
      <c r="Z61" s="133"/>
      <c r="AA61" s="52"/>
      <c r="AB61" s="52"/>
      <c r="AC61" s="52"/>
      <c r="AD61" s="133"/>
      <c r="AE61" s="52"/>
      <c r="AF61" s="52"/>
      <c r="AG61" s="133"/>
      <c r="AH61" s="52"/>
      <c r="AI61" s="52"/>
      <c r="AJ61" s="133"/>
      <c r="AK61" s="52"/>
      <c r="AL61" s="52"/>
      <c r="AM61" s="133"/>
      <c r="AN61" s="52"/>
      <c r="AO61" s="52"/>
      <c r="AP61" s="133"/>
      <c r="AQ61" s="52"/>
      <c r="AR61" s="52"/>
      <c r="AS61" s="133"/>
      <c r="AT61" s="52"/>
      <c r="AU61" s="52"/>
      <c r="AV61" s="133"/>
      <c r="AW61" s="52"/>
      <c r="AX61" s="52"/>
      <c r="AY61" s="133"/>
      <c r="AZ61" s="52"/>
      <c r="BA61" s="52"/>
      <c r="BB61" s="133"/>
      <c r="BC61" s="52"/>
      <c r="BD61" s="52"/>
      <c r="BE61" s="133"/>
      <c r="BF61" s="52"/>
      <c r="BG61" s="52"/>
      <c r="BH61" s="133"/>
      <c r="BI61" s="52"/>
      <c r="BJ61" s="52"/>
      <c r="BK61" s="133"/>
      <c r="BL61" s="52"/>
      <c r="BM61" s="52"/>
      <c r="BN61" s="133"/>
      <c r="BO61" s="52"/>
      <c r="BP61" s="52"/>
      <c r="BQ61" s="133"/>
      <c r="BR61" s="52"/>
      <c r="BS61" s="52"/>
      <c r="BT61" s="63"/>
      <c r="BU61" s="64"/>
      <c r="BV61" s="57"/>
      <c r="BW61" s="52"/>
    </row>
    <row r="62" spans="1:75" s="89" customFormat="1" ht="16.2" customHeight="1" x14ac:dyDescent="0.4">
      <c r="A62" s="160"/>
      <c r="B62" s="83" t="s">
        <v>204</v>
      </c>
      <c r="C62" s="84" t="s">
        <v>406</v>
      </c>
      <c r="D62" s="667" t="s">
        <v>126</v>
      </c>
      <c r="E62" s="417" t="s">
        <v>126</v>
      </c>
      <c r="F62" s="403" t="s">
        <v>126</v>
      </c>
      <c r="G62" s="417" t="s">
        <v>126</v>
      </c>
      <c r="H62" s="403" t="s">
        <v>126</v>
      </c>
      <c r="I62" s="417">
        <f t="shared" si="21"/>
        <v>1.347940805322932E-2</v>
      </c>
      <c r="J62" s="403"/>
      <c r="K62" s="417">
        <f t="shared" si="22"/>
        <v>2.0197552705292641E-2</v>
      </c>
      <c r="L62" s="403"/>
      <c r="M62" s="417">
        <f t="shared" si="23"/>
        <v>1.8069096421924495E-2</v>
      </c>
      <c r="N62" s="403"/>
      <c r="O62" s="417">
        <f t="shared" si="24"/>
        <v>1.0423614653221905E-2</v>
      </c>
      <c r="P62" s="403"/>
      <c r="Q62" s="417">
        <v>4.6623522511506765E-3</v>
      </c>
      <c r="R62" s="403"/>
      <c r="S62" s="417">
        <v>7.5104193846392527E-3</v>
      </c>
      <c r="T62" s="403"/>
      <c r="U62" s="417">
        <v>7.5393344510942591E-3</v>
      </c>
      <c r="V62" s="403"/>
      <c r="W62" s="417">
        <v>6.8748475338307634E-3</v>
      </c>
      <c r="X62" s="403"/>
      <c r="Y62" s="134"/>
      <c r="Z62" s="134"/>
      <c r="AA62" s="88"/>
      <c r="AB62" s="88"/>
      <c r="AC62" s="88"/>
      <c r="AD62" s="134"/>
      <c r="AE62" s="88"/>
      <c r="AF62" s="88"/>
      <c r="AG62" s="134"/>
      <c r="AH62" s="88"/>
      <c r="AI62" s="88"/>
      <c r="AJ62" s="134"/>
      <c r="AK62" s="88"/>
      <c r="AL62" s="88"/>
      <c r="AM62" s="134"/>
      <c r="AN62" s="88"/>
      <c r="AO62" s="88"/>
      <c r="AP62" s="134"/>
      <c r="AQ62" s="88"/>
      <c r="AR62" s="88"/>
      <c r="AS62" s="134"/>
      <c r="AT62" s="88"/>
      <c r="AU62" s="88"/>
      <c r="AV62" s="134"/>
      <c r="AW62" s="88"/>
      <c r="AX62" s="88"/>
      <c r="AY62" s="134"/>
      <c r="AZ62" s="88"/>
      <c r="BA62" s="88"/>
      <c r="BB62" s="134"/>
      <c r="BC62" s="88"/>
      <c r="BD62" s="88"/>
      <c r="BE62" s="134"/>
      <c r="BF62" s="88"/>
      <c r="BG62" s="88"/>
      <c r="BH62" s="134"/>
      <c r="BI62" s="88"/>
      <c r="BJ62" s="88"/>
      <c r="BK62" s="134"/>
      <c r="BL62" s="88"/>
      <c r="BM62" s="88"/>
      <c r="BN62" s="134"/>
      <c r="BO62" s="88"/>
      <c r="BP62" s="88"/>
      <c r="BQ62" s="134"/>
      <c r="BR62" s="88"/>
      <c r="BS62" s="88"/>
      <c r="BT62" s="85"/>
      <c r="BU62" s="86"/>
      <c r="BV62" s="87"/>
      <c r="BW62" s="88"/>
    </row>
    <row r="63" spans="1:75" s="89" customFormat="1" ht="16.2" customHeight="1" x14ac:dyDescent="0.4">
      <c r="A63" s="160"/>
      <c r="B63" s="83" t="s">
        <v>205</v>
      </c>
      <c r="C63" s="84" t="s">
        <v>407</v>
      </c>
      <c r="D63" s="667" t="s">
        <v>126</v>
      </c>
      <c r="E63" s="417" t="s">
        <v>126</v>
      </c>
      <c r="F63" s="403" t="s">
        <v>126</v>
      </c>
      <c r="G63" s="417" t="s">
        <v>126</v>
      </c>
      <c r="H63" s="403" t="s">
        <v>126</v>
      </c>
      <c r="I63" s="417">
        <f t="shared" si="21"/>
        <v>1.1127681541814843E-2</v>
      </c>
      <c r="J63" s="403"/>
      <c r="K63" s="417">
        <f t="shared" si="22"/>
        <v>8.9088266885701643E-3</v>
      </c>
      <c r="L63" s="403"/>
      <c r="M63" s="417">
        <f t="shared" si="23"/>
        <v>1.5949120579788742E-2</v>
      </c>
      <c r="N63" s="403"/>
      <c r="O63" s="417">
        <f t="shared" si="24"/>
        <v>7.7294306901557657E-3</v>
      </c>
      <c r="P63" s="403"/>
      <c r="Q63" s="417">
        <v>6.690326364657581E-3</v>
      </c>
      <c r="R63" s="403"/>
      <c r="S63" s="417">
        <v>6.276312912984916E-3</v>
      </c>
      <c r="T63" s="403"/>
      <c r="U63" s="417">
        <v>5.9515217463719039E-3</v>
      </c>
      <c r="V63" s="403"/>
      <c r="W63" s="417">
        <v>1.1643661987778005E-2</v>
      </c>
      <c r="X63" s="403"/>
      <c r="Y63" s="134"/>
      <c r="Z63" s="134"/>
      <c r="AA63" s="88"/>
      <c r="AB63" s="88"/>
      <c r="AC63" s="88"/>
      <c r="AD63" s="134"/>
      <c r="AE63" s="88"/>
      <c r="AF63" s="88"/>
      <c r="AG63" s="134"/>
      <c r="AH63" s="88"/>
      <c r="AI63" s="88"/>
      <c r="AJ63" s="134"/>
      <c r="AK63" s="88"/>
      <c r="AL63" s="88"/>
      <c r="AM63" s="134"/>
      <c r="AN63" s="88"/>
      <c r="AO63" s="88"/>
      <c r="AP63" s="134"/>
      <c r="AQ63" s="88"/>
      <c r="AR63" s="88"/>
      <c r="AS63" s="134"/>
      <c r="AT63" s="88"/>
      <c r="AU63" s="88"/>
      <c r="AV63" s="134"/>
      <c r="AW63" s="88"/>
      <c r="AX63" s="88"/>
      <c r="AY63" s="134"/>
      <c r="AZ63" s="88"/>
      <c r="BA63" s="88"/>
      <c r="BB63" s="134"/>
      <c r="BC63" s="88"/>
      <c r="BD63" s="88"/>
      <c r="BE63" s="134"/>
      <c r="BF63" s="88"/>
      <c r="BG63" s="88"/>
      <c r="BH63" s="134"/>
      <c r="BI63" s="88"/>
      <c r="BJ63" s="88"/>
      <c r="BK63" s="134"/>
      <c r="BL63" s="88"/>
      <c r="BM63" s="88"/>
      <c r="BN63" s="134"/>
      <c r="BO63" s="88"/>
      <c r="BP63" s="88"/>
      <c r="BQ63" s="134"/>
      <c r="BR63" s="88"/>
      <c r="BS63" s="88"/>
      <c r="BT63" s="85"/>
      <c r="BU63" s="86"/>
      <c r="BV63" s="87"/>
      <c r="BW63" s="88"/>
    </row>
    <row r="64" spans="1:75" s="21" customFormat="1" ht="16.2" customHeight="1" x14ac:dyDescent="0.4">
      <c r="A64" s="156"/>
      <c r="B64" s="76" t="s">
        <v>357</v>
      </c>
      <c r="C64" s="77" t="s">
        <v>358</v>
      </c>
      <c r="D64" s="658"/>
      <c r="E64" s="127"/>
      <c r="F64" s="408"/>
      <c r="G64" s="127"/>
      <c r="H64" s="408"/>
      <c r="I64" s="127"/>
      <c r="J64" s="408"/>
      <c r="K64" s="127"/>
      <c r="L64" s="408"/>
      <c r="M64" s="127"/>
      <c r="N64" s="408"/>
      <c r="O64" s="127"/>
      <c r="P64" s="408"/>
      <c r="Q64" s="127"/>
      <c r="R64" s="408"/>
      <c r="S64" s="127"/>
      <c r="T64" s="408"/>
      <c r="U64" s="127"/>
      <c r="V64" s="408"/>
      <c r="W64" s="127">
        <v>4.8104466473911693E-2</v>
      </c>
      <c r="X64" s="408"/>
      <c r="Y64" s="128"/>
      <c r="Z64" s="128"/>
      <c r="AA64" s="52"/>
      <c r="AB64" s="52"/>
      <c r="AC64" s="52"/>
      <c r="AD64" s="128"/>
      <c r="AE64" s="52"/>
      <c r="AF64" s="52"/>
      <c r="AG64" s="128"/>
      <c r="AH64" s="52"/>
      <c r="AI64" s="52"/>
      <c r="AJ64" s="128"/>
      <c r="AK64" s="52"/>
      <c r="AL64" s="52"/>
      <c r="AM64" s="128"/>
      <c r="AN64" s="52"/>
      <c r="AO64" s="52"/>
      <c r="AP64" s="128"/>
      <c r="AQ64" s="52"/>
      <c r="AR64" s="52"/>
      <c r="AS64" s="128"/>
      <c r="AT64" s="52"/>
      <c r="AU64" s="52"/>
      <c r="AV64" s="128"/>
      <c r="AW64" s="52"/>
      <c r="AX64" s="52"/>
      <c r="AY64" s="128"/>
      <c r="AZ64" s="52"/>
      <c r="BA64" s="52"/>
      <c r="BB64" s="128"/>
      <c r="BC64" s="52"/>
      <c r="BD64" s="52"/>
      <c r="BE64" s="128"/>
      <c r="BF64" s="52"/>
      <c r="BG64" s="52"/>
      <c r="BH64" s="128"/>
      <c r="BI64" s="52"/>
      <c r="BJ64" s="52"/>
      <c r="BK64" s="128"/>
      <c r="BL64" s="52"/>
      <c r="BM64" s="52"/>
      <c r="BN64" s="128"/>
      <c r="BO64" s="52"/>
      <c r="BP64" s="52"/>
      <c r="BQ64" s="128"/>
      <c r="BR64" s="52"/>
      <c r="BS64" s="52"/>
      <c r="BT64" s="63"/>
      <c r="BU64" s="64"/>
      <c r="BV64" s="57"/>
      <c r="BW64" s="52"/>
    </row>
    <row r="65" spans="1:75" s="89" customFormat="1" ht="16.2" customHeight="1" x14ac:dyDescent="0.4">
      <c r="A65" s="156"/>
      <c r="B65" s="83" t="s">
        <v>204</v>
      </c>
      <c r="C65" s="84" t="s">
        <v>406</v>
      </c>
      <c r="D65" s="659"/>
      <c r="E65" s="409"/>
      <c r="F65" s="403"/>
      <c r="G65" s="409"/>
      <c r="H65" s="403"/>
      <c r="I65" s="409"/>
      <c r="J65" s="403"/>
      <c r="K65" s="409"/>
      <c r="L65" s="403"/>
      <c r="M65" s="409"/>
      <c r="N65" s="403"/>
      <c r="O65" s="409"/>
      <c r="P65" s="403"/>
      <c r="Q65" s="409"/>
      <c r="R65" s="403"/>
      <c r="S65" s="409"/>
      <c r="T65" s="403"/>
      <c r="U65" s="409"/>
      <c r="V65" s="403"/>
      <c r="W65" s="409">
        <v>3.4377910238212628E-2</v>
      </c>
      <c r="X65" s="403"/>
      <c r="Y65" s="129"/>
      <c r="Z65" s="129"/>
      <c r="AA65" s="88"/>
      <c r="AB65" s="88"/>
      <c r="AC65" s="88"/>
      <c r="AD65" s="129"/>
      <c r="AE65" s="88"/>
      <c r="AF65" s="88"/>
      <c r="AG65" s="129"/>
      <c r="AH65" s="88"/>
      <c r="AI65" s="88"/>
      <c r="AJ65" s="129"/>
      <c r="AK65" s="88"/>
      <c r="AL65" s="88"/>
      <c r="AM65" s="129"/>
      <c r="AN65" s="88"/>
      <c r="AO65" s="88"/>
      <c r="AP65" s="129"/>
      <c r="AQ65" s="88"/>
      <c r="AR65" s="88"/>
      <c r="AS65" s="129"/>
      <c r="AT65" s="88"/>
      <c r="AU65" s="88"/>
      <c r="AV65" s="129"/>
      <c r="AW65" s="88"/>
      <c r="AX65" s="88"/>
      <c r="AY65" s="129"/>
      <c r="AZ65" s="88"/>
      <c r="BA65" s="88"/>
      <c r="BB65" s="129"/>
      <c r="BC65" s="88"/>
      <c r="BD65" s="88"/>
      <c r="BE65" s="129"/>
      <c r="BF65" s="88"/>
      <c r="BG65" s="88"/>
      <c r="BH65" s="129"/>
      <c r="BI65" s="88"/>
      <c r="BJ65" s="88"/>
      <c r="BK65" s="129"/>
      <c r="BL65" s="88"/>
      <c r="BM65" s="88"/>
      <c r="BN65" s="129"/>
      <c r="BO65" s="88"/>
      <c r="BP65" s="88"/>
      <c r="BQ65" s="129"/>
      <c r="BR65" s="88"/>
      <c r="BS65" s="88"/>
      <c r="BT65" s="85"/>
      <c r="BU65" s="86"/>
      <c r="BV65" s="87"/>
      <c r="BW65" s="88"/>
    </row>
    <row r="66" spans="1:75" s="89" customFormat="1" ht="16.2" customHeight="1" x14ac:dyDescent="0.4">
      <c r="A66" s="156"/>
      <c r="B66" s="83" t="s">
        <v>205</v>
      </c>
      <c r="C66" s="84" t="s">
        <v>407</v>
      </c>
      <c r="D66" s="659"/>
      <c r="E66" s="409"/>
      <c r="F66" s="403"/>
      <c r="G66" s="409"/>
      <c r="H66" s="403"/>
      <c r="I66" s="409"/>
      <c r="J66" s="403"/>
      <c r="K66" s="409"/>
      <c r="L66" s="403"/>
      <c r="M66" s="409"/>
      <c r="N66" s="403"/>
      <c r="O66" s="409"/>
      <c r="P66" s="403"/>
      <c r="Q66" s="409"/>
      <c r="R66" s="403"/>
      <c r="S66" s="409"/>
      <c r="T66" s="403"/>
      <c r="U66" s="409"/>
      <c r="V66" s="403"/>
      <c r="W66" s="409">
        <v>1.372655623569906E-2</v>
      </c>
      <c r="X66" s="403"/>
      <c r="Y66" s="129"/>
      <c r="Z66" s="129"/>
      <c r="AA66" s="88"/>
      <c r="AB66" s="88"/>
      <c r="AC66" s="88"/>
      <c r="AD66" s="129"/>
      <c r="AE66" s="88"/>
      <c r="AF66" s="88"/>
      <c r="AG66" s="129"/>
      <c r="AH66" s="88"/>
      <c r="AI66" s="88"/>
      <c r="AJ66" s="129"/>
      <c r="AK66" s="88"/>
      <c r="AL66" s="88"/>
      <c r="AM66" s="129"/>
      <c r="AN66" s="88"/>
      <c r="AO66" s="88"/>
      <c r="AP66" s="129"/>
      <c r="AQ66" s="88"/>
      <c r="AR66" s="88"/>
      <c r="AS66" s="129"/>
      <c r="AT66" s="88"/>
      <c r="AU66" s="88"/>
      <c r="AV66" s="129"/>
      <c r="AW66" s="88"/>
      <c r="AX66" s="88"/>
      <c r="AY66" s="129"/>
      <c r="AZ66" s="88"/>
      <c r="BA66" s="88"/>
      <c r="BB66" s="129"/>
      <c r="BC66" s="88"/>
      <c r="BD66" s="88"/>
      <c r="BE66" s="129"/>
      <c r="BF66" s="88"/>
      <c r="BG66" s="88"/>
      <c r="BH66" s="129"/>
      <c r="BI66" s="88"/>
      <c r="BJ66" s="88"/>
      <c r="BK66" s="129"/>
      <c r="BL66" s="88"/>
      <c r="BM66" s="88"/>
      <c r="BN66" s="129"/>
      <c r="BO66" s="88"/>
      <c r="BP66" s="88"/>
      <c r="BQ66" s="129"/>
      <c r="BR66" s="88"/>
      <c r="BS66" s="88"/>
      <c r="BT66" s="85"/>
      <c r="BU66" s="86"/>
      <c r="BV66" s="87"/>
      <c r="BW66" s="88"/>
    </row>
    <row r="67" spans="1:75" s="21" customFormat="1" ht="16.2" customHeight="1" x14ac:dyDescent="0.4">
      <c r="A67" s="157"/>
      <c r="B67" s="76" t="s">
        <v>359</v>
      </c>
      <c r="C67" s="77" t="s">
        <v>365</v>
      </c>
      <c r="D67" s="666" t="s">
        <v>126</v>
      </c>
      <c r="E67" s="132" t="s">
        <v>126</v>
      </c>
      <c r="F67" s="408" t="s">
        <v>126</v>
      </c>
      <c r="G67" s="132" t="s">
        <v>126</v>
      </c>
      <c r="H67" s="408" t="s">
        <v>126</v>
      </c>
      <c r="I67" s="132">
        <f>I43/I$44</f>
        <v>0</v>
      </c>
      <c r="J67" s="408"/>
      <c r="K67" s="132">
        <f>K43/K$44</f>
        <v>0</v>
      </c>
      <c r="L67" s="408"/>
      <c r="M67" s="132">
        <f>M43/M$44</f>
        <v>0</v>
      </c>
      <c r="N67" s="408"/>
      <c r="O67" s="132">
        <f>O43/O$44</f>
        <v>0</v>
      </c>
      <c r="P67" s="408"/>
      <c r="Q67" s="132">
        <v>0</v>
      </c>
      <c r="R67" s="408"/>
      <c r="S67" s="132">
        <v>1.5168931545877029E-2</v>
      </c>
      <c r="T67" s="408"/>
      <c r="U67" s="132">
        <v>8.7440734613206603E-3</v>
      </c>
      <c r="V67" s="408"/>
      <c r="W67" s="132">
        <v>4.1656773306351759E-3</v>
      </c>
      <c r="X67" s="408"/>
      <c r="Y67" s="133"/>
      <c r="Z67" s="133"/>
      <c r="AA67" s="52"/>
      <c r="AB67" s="52"/>
      <c r="AC67" s="52"/>
      <c r="AD67" s="133"/>
      <c r="AE67" s="52"/>
      <c r="AF67" s="52"/>
      <c r="AG67" s="133"/>
      <c r="AH67" s="52"/>
      <c r="AI67" s="52"/>
      <c r="AJ67" s="133"/>
      <c r="AK67" s="52"/>
      <c r="AL67" s="52"/>
      <c r="AM67" s="133"/>
      <c r="AN67" s="52"/>
      <c r="AO67" s="52"/>
      <c r="AP67" s="133"/>
      <c r="AQ67" s="52"/>
      <c r="AR67" s="52"/>
      <c r="AS67" s="133"/>
      <c r="AT67" s="52"/>
      <c r="AU67" s="52"/>
      <c r="AV67" s="133"/>
      <c r="AW67" s="52"/>
      <c r="AX67" s="52"/>
      <c r="AY67" s="133"/>
      <c r="AZ67" s="52"/>
      <c r="BA67" s="52"/>
      <c r="BB67" s="133"/>
      <c r="BC67" s="52"/>
      <c r="BD67" s="52"/>
      <c r="BE67" s="133"/>
      <c r="BF67" s="52"/>
      <c r="BG67" s="52"/>
      <c r="BH67" s="133"/>
      <c r="BI67" s="52"/>
      <c r="BJ67" s="52"/>
      <c r="BK67" s="133"/>
      <c r="BL67" s="52"/>
      <c r="BM67" s="52"/>
      <c r="BN67" s="133"/>
      <c r="BO67" s="52"/>
      <c r="BP67" s="52"/>
      <c r="BQ67" s="133"/>
      <c r="BR67" s="52"/>
      <c r="BS67" s="52"/>
      <c r="BT67" s="63"/>
      <c r="BU67" s="64"/>
      <c r="BV67" s="57"/>
      <c r="BW67" s="52"/>
    </row>
    <row r="68" spans="1:75" s="153" customFormat="1" ht="16.2" customHeight="1" x14ac:dyDescent="0.4">
      <c r="A68" s="668"/>
      <c r="B68" s="151" t="s">
        <v>207</v>
      </c>
      <c r="C68" s="152" t="s">
        <v>7</v>
      </c>
      <c r="D68" s="669" t="s">
        <v>126</v>
      </c>
      <c r="E68" s="420" t="s">
        <v>126</v>
      </c>
      <c r="F68" s="421" t="s">
        <v>126</v>
      </c>
      <c r="G68" s="420" t="s">
        <v>126</v>
      </c>
      <c r="H68" s="421" t="s">
        <v>126</v>
      </c>
      <c r="I68" s="420">
        <f>I44/I$44</f>
        <v>1</v>
      </c>
      <c r="J68" s="421"/>
      <c r="K68" s="420">
        <f>K44/K$44</f>
        <v>1</v>
      </c>
      <c r="L68" s="421"/>
      <c r="M68" s="420">
        <f>M44/M$44</f>
        <v>1</v>
      </c>
      <c r="N68" s="421"/>
      <c r="O68" s="420">
        <f>O44/O$44</f>
        <v>1</v>
      </c>
      <c r="P68" s="421"/>
      <c r="Q68" s="420">
        <v>1</v>
      </c>
      <c r="R68" s="421"/>
      <c r="S68" s="420">
        <v>1</v>
      </c>
      <c r="T68" s="421"/>
      <c r="U68" s="420">
        <v>1</v>
      </c>
      <c r="V68" s="421"/>
      <c r="W68" s="420">
        <v>1</v>
      </c>
      <c r="X68" s="421"/>
      <c r="Y68" s="422"/>
      <c r="Z68" s="422"/>
      <c r="AA68" s="67"/>
      <c r="AB68" s="67"/>
      <c r="AC68" s="67"/>
      <c r="AD68" s="422"/>
      <c r="AE68" s="67"/>
      <c r="AF68" s="67"/>
      <c r="AG68" s="422"/>
      <c r="AH68" s="67"/>
      <c r="AI68" s="67"/>
      <c r="AJ68" s="422"/>
      <c r="AK68" s="67"/>
      <c r="AL68" s="67"/>
      <c r="AM68" s="422"/>
      <c r="AN68" s="67"/>
      <c r="AO68" s="67"/>
      <c r="AP68" s="422"/>
      <c r="AQ68" s="67"/>
      <c r="AR68" s="67"/>
      <c r="AS68" s="422"/>
      <c r="AT68" s="67"/>
      <c r="AU68" s="67"/>
      <c r="AV68" s="422"/>
      <c r="AW68" s="67"/>
      <c r="AX68" s="67"/>
      <c r="AY68" s="422"/>
      <c r="AZ68" s="67"/>
      <c r="BA68" s="67"/>
      <c r="BB68" s="422"/>
      <c r="BC68" s="67"/>
      <c r="BD68" s="67"/>
      <c r="BE68" s="422"/>
      <c r="BF68" s="67"/>
      <c r="BG68" s="67"/>
      <c r="BH68" s="422"/>
      <c r="BI68" s="67"/>
      <c r="BJ68" s="67"/>
      <c r="BK68" s="422"/>
      <c r="BL68" s="67"/>
      <c r="BM68" s="67"/>
      <c r="BN68" s="422"/>
      <c r="BO68" s="67"/>
      <c r="BP68" s="67"/>
      <c r="BQ68" s="422"/>
      <c r="BR68" s="67"/>
      <c r="BS68" s="67"/>
      <c r="BT68" s="57"/>
      <c r="BV68" s="57"/>
      <c r="BW68" s="67"/>
    </row>
    <row r="69" spans="1:75" s="89" customFormat="1" ht="16.2" customHeight="1" x14ac:dyDescent="0.4">
      <c r="A69" s="160"/>
      <c r="B69" s="83" t="s">
        <v>204</v>
      </c>
      <c r="C69" s="84" t="s">
        <v>406</v>
      </c>
      <c r="D69" s="667" t="s">
        <v>126</v>
      </c>
      <c r="E69" s="417" t="s">
        <v>126</v>
      </c>
      <c r="F69" s="403" t="s">
        <v>126</v>
      </c>
      <c r="G69" s="417" t="s">
        <v>126</v>
      </c>
      <c r="H69" s="403" t="s">
        <v>126</v>
      </c>
      <c r="I69" s="417">
        <f>I45/I$44</f>
        <v>0.6742858781690948</v>
      </c>
      <c r="J69" s="403"/>
      <c r="K69" s="417">
        <f>K45/K$44</f>
        <v>0.58004254333312266</v>
      </c>
      <c r="L69" s="403"/>
      <c r="M69" s="417">
        <f>M45/M$44</f>
        <v>0.50743840360888914</v>
      </c>
      <c r="N69" s="403"/>
      <c r="O69" s="417">
        <f>O45/O$44</f>
        <v>0.54799178666248149</v>
      </c>
      <c r="P69" s="403"/>
      <c r="Q69" s="417">
        <v>0.697652918195103</v>
      </c>
      <c r="R69" s="403"/>
      <c r="S69" s="417">
        <v>0.61655254120152614</v>
      </c>
      <c r="T69" s="403"/>
      <c r="U69" s="417">
        <v>0.6499095057794162</v>
      </c>
      <c r="V69" s="403"/>
      <c r="W69" s="417">
        <v>0.67415380941548708</v>
      </c>
      <c r="X69" s="403"/>
      <c r="Y69" s="134"/>
      <c r="Z69" s="134"/>
      <c r="AA69" s="88"/>
      <c r="AB69" s="88"/>
      <c r="AC69" s="88"/>
      <c r="AD69" s="134"/>
      <c r="AE69" s="88"/>
      <c r="AF69" s="88"/>
      <c r="AG69" s="134"/>
      <c r="AH69" s="88"/>
      <c r="AI69" s="88"/>
      <c r="AJ69" s="134"/>
      <c r="AK69" s="88"/>
      <c r="AL69" s="88"/>
      <c r="AM69" s="134"/>
      <c r="AN69" s="88"/>
      <c r="AO69" s="88"/>
      <c r="AP69" s="134"/>
      <c r="AQ69" s="88"/>
      <c r="AR69" s="88"/>
      <c r="AS69" s="134"/>
      <c r="AT69" s="88"/>
      <c r="AU69" s="88"/>
      <c r="AV69" s="134"/>
      <c r="AW69" s="88"/>
      <c r="AX69" s="88"/>
      <c r="AY69" s="134"/>
      <c r="AZ69" s="88"/>
      <c r="BA69" s="88"/>
      <c r="BB69" s="134"/>
      <c r="BC69" s="88"/>
      <c r="BD69" s="88"/>
      <c r="BE69" s="134"/>
      <c r="BF69" s="88"/>
      <c r="BG69" s="88"/>
      <c r="BH69" s="134"/>
      <c r="BI69" s="88"/>
      <c r="BJ69" s="88"/>
      <c r="BK69" s="134"/>
      <c r="BL69" s="88"/>
      <c r="BM69" s="88"/>
      <c r="BN69" s="134"/>
      <c r="BO69" s="88"/>
      <c r="BP69" s="88"/>
      <c r="BQ69" s="134"/>
      <c r="BR69" s="88"/>
      <c r="BS69" s="88"/>
      <c r="BT69" s="85"/>
      <c r="BU69" s="86"/>
      <c r="BV69" s="87"/>
      <c r="BW69" s="88"/>
    </row>
    <row r="70" spans="1:75" ht="16.2" customHeight="1" thickBot="1" x14ac:dyDescent="0.45">
      <c r="A70" s="160"/>
      <c r="B70" s="83" t="s">
        <v>205</v>
      </c>
      <c r="C70" s="84" t="s">
        <v>407</v>
      </c>
      <c r="D70" s="667" t="s">
        <v>126</v>
      </c>
      <c r="E70" s="417" t="s">
        <v>126</v>
      </c>
      <c r="F70" s="403" t="s">
        <v>126</v>
      </c>
      <c r="G70" s="417" t="s">
        <v>126</v>
      </c>
      <c r="H70" s="403" t="s">
        <v>126</v>
      </c>
      <c r="I70" s="417">
        <f>I46/I$44</f>
        <v>0.32571412183090509</v>
      </c>
      <c r="J70" s="403"/>
      <c r="K70" s="417">
        <f>K46/K$44</f>
        <v>0.41995745666687728</v>
      </c>
      <c r="L70" s="403"/>
      <c r="M70" s="417">
        <f>M46/M$44</f>
        <v>0.49256159639111086</v>
      </c>
      <c r="N70" s="403"/>
      <c r="O70" s="417">
        <f>O46/O$44</f>
        <v>0.45200821333751851</v>
      </c>
      <c r="P70" s="403"/>
      <c r="Q70" s="417">
        <v>0.30234708180489694</v>
      </c>
      <c r="R70" s="403"/>
      <c r="S70" s="417">
        <v>0.38341925065055049</v>
      </c>
      <c r="T70" s="403"/>
      <c r="U70" s="417">
        <v>0.35009049422058386</v>
      </c>
      <c r="V70" s="403"/>
      <c r="W70" s="417">
        <v>0.32584619058451292</v>
      </c>
      <c r="X70" s="403"/>
      <c r="Y70" s="134"/>
      <c r="Z70" s="134"/>
      <c r="AA70" s="88"/>
      <c r="AB70" s="88"/>
      <c r="AC70" s="88"/>
      <c r="AD70" s="134"/>
      <c r="AE70" s="88"/>
      <c r="AF70" s="88"/>
      <c r="AG70" s="134"/>
      <c r="AH70" s="88"/>
      <c r="AI70" s="88"/>
      <c r="AJ70" s="134"/>
      <c r="AK70" s="88"/>
      <c r="AL70" s="88"/>
      <c r="AM70" s="134"/>
      <c r="AN70" s="88"/>
      <c r="AO70" s="88"/>
      <c r="AP70" s="134"/>
      <c r="AQ70" s="88"/>
      <c r="AR70" s="88"/>
      <c r="AS70" s="134"/>
      <c r="AT70" s="88"/>
      <c r="AU70" s="88"/>
      <c r="AV70" s="134"/>
      <c r="AW70" s="88"/>
      <c r="AX70" s="88"/>
      <c r="AY70" s="134"/>
      <c r="AZ70" s="88"/>
      <c r="BA70" s="88"/>
      <c r="BB70" s="134"/>
      <c r="BC70" s="88"/>
      <c r="BD70" s="88"/>
      <c r="BE70" s="134"/>
      <c r="BF70" s="88"/>
      <c r="BG70" s="88"/>
      <c r="BH70" s="134"/>
      <c r="BI70" s="88"/>
      <c r="BJ70" s="88"/>
      <c r="BK70" s="134"/>
      <c r="BL70" s="88"/>
      <c r="BM70" s="88"/>
      <c r="BN70" s="134"/>
      <c r="BO70" s="88"/>
      <c r="BP70" s="88"/>
      <c r="BQ70" s="134"/>
      <c r="BR70" s="88"/>
      <c r="BS70" s="88"/>
      <c r="BT70" s="85"/>
      <c r="BU70" s="92"/>
      <c r="BV70" s="87"/>
      <c r="BW70" s="88"/>
    </row>
    <row r="71" spans="1:75" ht="16.2" customHeight="1" thickBot="1" x14ac:dyDescent="0.45">
      <c r="A71" s="162"/>
      <c r="B71" s="145" t="s">
        <v>208</v>
      </c>
      <c r="C71" s="146" t="s">
        <v>8</v>
      </c>
      <c r="D71" s="670" t="s">
        <v>126</v>
      </c>
      <c r="E71" s="418" t="s">
        <v>126</v>
      </c>
      <c r="F71" s="419" t="s">
        <v>126</v>
      </c>
      <c r="G71" s="418" t="s">
        <v>126</v>
      </c>
      <c r="H71" s="419" t="s">
        <v>126</v>
      </c>
      <c r="I71" s="418">
        <f>I47/I$44</f>
        <v>4.8411150625215095E-2</v>
      </c>
      <c r="J71" s="419"/>
      <c r="K71" s="418">
        <f>K47/K$44</f>
        <v>8.767717613361134E-2</v>
      </c>
      <c r="L71" s="419"/>
      <c r="M71" s="418">
        <f>M47/M$44</f>
        <v>0.11515659472717638</v>
      </c>
      <c r="N71" s="419"/>
      <c r="O71" s="418">
        <f>O47/O$44</f>
        <v>0.12051895737696341</v>
      </c>
      <c r="P71" s="419"/>
      <c r="Q71" s="418">
        <v>0.1354070362748899</v>
      </c>
      <c r="R71" s="419"/>
      <c r="S71" s="418">
        <v>0.18805667016917837</v>
      </c>
      <c r="T71" s="419"/>
      <c r="U71" s="418">
        <v>0.2537272848402749</v>
      </c>
      <c r="V71" s="419"/>
      <c r="W71" s="418">
        <v>0.19325453641535442</v>
      </c>
      <c r="X71" s="419"/>
      <c r="Y71" s="134"/>
      <c r="Z71" s="134"/>
      <c r="AA71" s="88"/>
      <c r="AB71" s="88"/>
      <c r="AC71" s="88"/>
      <c r="AD71" s="134"/>
      <c r="AE71" s="88"/>
      <c r="AF71" s="88"/>
      <c r="AG71" s="134"/>
      <c r="AH71" s="88"/>
      <c r="AI71" s="88"/>
      <c r="AJ71" s="134"/>
      <c r="AK71" s="88"/>
      <c r="AL71" s="88"/>
      <c r="AM71" s="134"/>
      <c r="AN71" s="88"/>
      <c r="AO71" s="88"/>
      <c r="AP71" s="134"/>
      <c r="AQ71" s="88"/>
      <c r="AR71" s="88"/>
      <c r="AS71" s="134"/>
      <c r="AT71" s="88"/>
      <c r="AU71" s="88"/>
      <c r="AV71" s="134"/>
      <c r="AW71" s="88"/>
      <c r="AX71" s="88"/>
      <c r="AY71" s="134"/>
      <c r="AZ71" s="88"/>
      <c r="BA71" s="88"/>
      <c r="BB71" s="134"/>
      <c r="BC71" s="88"/>
      <c r="BD71" s="88"/>
      <c r="BE71" s="134"/>
      <c r="BF71" s="88"/>
      <c r="BG71" s="88"/>
      <c r="BH71" s="134"/>
      <c r="BI71" s="88"/>
      <c r="BJ71" s="88"/>
      <c r="BK71" s="134"/>
      <c r="BL71" s="88"/>
      <c r="BM71" s="88"/>
      <c r="BN71" s="134"/>
      <c r="BO71" s="88"/>
      <c r="BP71" s="88"/>
      <c r="BQ71" s="134"/>
      <c r="BR71" s="88"/>
      <c r="BS71" s="88"/>
      <c r="BT71" s="85"/>
      <c r="BU71" s="92"/>
      <c r="BV71" s="93"/>
      <c r="BW71" s="88"/>
    </row>
  </sheetData>
  <phoneticPr fontId="3" type="noConversion"/>
  <conditionalFormatting sqref="F1 V1 X1:BU1 F4:F26 Y25:BU26 F28:F50 Z31:AA31 Z32:AC32 Z35 AA36 Y49:BU50 AA52:AC55 AA56 AC56 AA57:AC71">
    <cfRule type="cellIs" dxfId="46" priority="29" operator="greaterThan">
      <formula>0</formula>
    </cfRule>
    <cfRule type="cellIs" dxfId="45" priority="28" operator="lessThan">
      <formula>0</formula>
    </cfRule>
  </conditionalFormatting>
  <conditionalFormatting sqref="F52:F71">
    <cfRule type="cellIs" dxfId="44" priority="13" operator="lessThan">
      <formula>0</formula>
    </cfRule>
    <cfRule type="cellIs" dxfId="43" priority="14" operator="greaterThan">
      <formula>0</formula>
    </cfRule>
  </conditionalFormatting>
  <conditionalFormatting sqref="H1 J1 L1 N1 P1 R1 T1 J4:J26 L4:L26 N4:N26 P4:P26 R4:R26 T4:T26 V4:V26 H28:H50 J28:J50 L28:L50 N28:N50 P28:P50 R28:R50 T28:T50 V28:V50">
    <cfRule type="cellIs" dxfId="42" priority="27" operator="greaterThan">
      <formula>0</formula>
    </cfRule>
    <cfRule type="cellIs" dxfId="41" priority="26" operator="lessThan">
      <formula>0</formula>
    </cfRule>
  </conditionalFormatting>
  <conditionalFormatting sqref="H4:H26">
    <cfRule type="cellIs" dxfId="40" priority="24" operator="lessThan">
      <formula>0</formula>
    </cfRule>
    <cfRule type="cellIs" dxfId="39" priority="25" operator="greaterThan">
      <formula>0</formula>
    </cfRule>
  </conditionalFormatting>
  <conditionalFormatting sqref="H52:H71 J52:J71 L52:L71 N52:N71 P52:P71 R52:R71 T52:T71 V52:V71">
    <cfRule type="cellIs" dxfId="38" priority="11" operator="lessThan">
      <formula>0</formula>
    </cfRule>
    <cfRule type="cellIs" dxfId="37" priority="12" operator="greaterThan">
      <formula>0</formula>
    </cfRule>
  </conditionalFormatting>
  <conditionalFormatting sqref="X4:X26">
    <cfRule type="cellIs" dxfId="36" priority="6" operator="greaterThan">
      <formula>0</formula>
    </cfRule>
    <cfRule type="cellIs" dxfId="35" priority="5" operator="lessThan">
      <formula>0</formula>
    </cfRule>
  </conditionalFormatting>
  <conditionalFormatting sqref="X28:X50">
    <cfRule type="cellIs" dxfId="34" priority="9" operator="lessThan">
      <formula>0</formula>
    </cfRule>
    <cfRule type="cellIs" dxfId="33" priority="10" operator="greaterThan">
      <formula>0</formula>
    </cfRule>
  </conditionalFormatting>
  <conditionalFormatting sqref="X52:X71">
    <cfRule type="cellIs" dxfId="32" priority="7" operator="lessThan">
      <formula>0</formula>
    </cfRule>
    <cfRule type="cellIs" dxfId="31" priority="8" operator="greaterThan">
      <formula>0</formula>
    </cfRule>
  </conditionalFormatting>
  <conditionalFormatting sqref="Y36">
    <cfRule type="cellIs" dxfId="30" priority="2" operator="greaterThan">
      <formula>0</formula>
    </cfRule>
    <cfRule type="cellIs" dxfId="29" priority="1" operator="lessThan">
      <formula>0</formula>
    </cfRule>
  </conditionalFormatting>
  <conditionalFormatting sqref="Y45:Y46">
    <cfRule type="cellIs" dxfId="28" priority="3" operator="lessThan">
      <formula>0</formula>
    </cfRule>
    <cfRule type="cellIs" dxfId="27" priority="4" operator="greaterThan">
      <formula>0</formula>
    </cfRule>
  </conditionalFormatting>
  <conditionalFormatting sqref="AA4:AC24">
    <cfRule type="cellIs" dxfId="26" priority="23" operator="greaterThan">
      <formula>0</formula>
    </cfRule>
    <cfRule type="cellIs" dxfId="25" priority="22" operator="lessThan">
      <formula>0</formula>
    </cfRule>
  </conditionalFormatting>
  <conditionalFormatting sqref="AA28:AC31 AE33:AF35 AH33:AI35 AA33:AC48 AE36 AI36 AE37:AF48 AH37:AI48 E72:X1048576">
    <cfRule type="cellIs" dxfId="24" priority="47" operator="greaterThan">
      <formula>0</formula>
    </cfRule>
    <cfRule type="cellIs" dxfId="23" priority="46" operator="lessThan">
      <formula>0</formula>
    </cfRule>
  </conditionalFormatting>
  <conditionalFormatting sqref="AE4:AF24 AH4:AI24 AK4:AL24 AN4:AO24 AQ4:AR24 AT4:AU24 AW4:AX24 AZ4:BA24 BC4:BD24 BF4:BG24 BI4:BJ24 BL4:BM24 BO4:BP24 BR4:BS24 AE28:AF31 AH28:AI31 AK28:AL48 AN28:AO48 AQ28:AR48 AT28:AU48 AW28:AX48 AZ28:BA48 BC28:BD48 BF28:BG48 BI28:BJ48 BL28:BM48 BO28:BP48 BR28:BS48 AE32 AI32">
    <cfRule type="cellIs" dxfId="22" priority="35" operator="greaterThan">
      <formula>0</formula>
    </cfRule>
    <cfRule type="cellIs" dxfId="21" priority="34" operator="lessThan">
      <formula>0</formula>
    </cfRule>
  </conditionalFormatting>
  <conditionalFormatting sqref="AE52:AF71 AH52:AI71">
    <cfRule type="cellIs" dxfId="20" priority="33" operator="greaterThan">
      <formula>0</formula>
    </cfRule>
    <cfRule type="cellIs" dxfId="19" priority="32" operator="lessThan">
      <formula>0</formula>
    </cfRule>
  </conditionalFormatting>
  <conditionalFormatting sqref="AK52:AL71 AN52:AO71 AQ52:AR71 AT52:AU71 AW52:AX71 AZ52:BA71 BC52:BD71 BF52:BG71 BI52:BJ71 BL52:BM71 BO52:BP71 BR52:BS71">
    <cfRule type="cellIs" dxfId="18" priority="16" operator="lessThan">
      <formula>0</formula>
    </cfRule>
    <cfRule type="cellIs" dxfId="17" priority="17" operator="greaterThan">
      <formula>0</formula>
    </cfRule>
  </conditionalFormatting>
  <conditionalFormatting sqref="BV3:BV24">
    <cfRule type="cellIs" dxfId="16" priority="43" operator="equal">
      <formula>0</formula>
    </cfRule>
  </conditionalFormatting>
  <conditionalFormatting sqref="BV27:BV28">
    <cfRule type="cellIs" dxfId="15" priority="30" operator="equal">
      <formula>0</formula>
    </cfRule>
  </conditionalFormatting>
  <conditionalFormatting sqref="BV31">
    <cfRule type="cellIs" dxfId="14" priority="42" operator="equal">
      <formula>0</formula>
    </cfRule>
  </conditionalFormatting>
  <conditionalFormatting sqref="BV34">
    <cfRule type="cellIs" dxfId="13" priority="40" operator="equal">
      <formula>0</formula>
    </cfRule>
  </conditionalFormatting>
  <conditionalFormatting sqref="BV37">
    <cfRule type="cellIs" dxfId="12" priority="41" operator="equal">
      <formula>0</formula>
    </cfRule>
  </conditionalFormatting>
  <conditionalFormatting sqref="BV40">
    <cfRule type="cellIs" dxfId="11" priority="21" operator="equal">
      <formula>0</formula>
    </cfRule>
  </conditionalFormatting>
  <conditionalFormatting sqref="BV43:BV44">
    <cfRule type="cellIs" dxfId="10" priority="31" operator="equal">
      <formula>0</formula>
    </cfRule>
  </conditionalFormatting>
  <conditionalFormatting sqref="BV52">
    <cfRule type="cellIs" dxfId="9" priority="39" operator="equal">
      <formula>0</formula>
    </cfRule>
  </conditionalFormatting>
  <conditionalFormatting sqref="BV55">
    <cfRule type="cellIs" dxfId="8" priority="38" operator="equal">
      <formula>0</formula>
    </cfRule>
  </conditionalFormatting>
  <conditionalFormatting sqref="BV58">
    <cfRule type="cellIs" dxfId="7" priority="36" operator="equal">
      <formula>0</formula>
    </cfRule>
  </conditionalFormatting>
  <conditionalFormatting sqref="BV61">
    <cfRule type="cellIs" dxfId="6" priority="37" operator="equal">
      <formula>0</formula>
    </cfRule>
  </conditionalFormatting>
  <conditionalFormatting sqref="BV64">
    <cfRule type="cellIs" dxfId="5" priority="20" operator="equal">
      <formula>0</formula>
    </cfRule>
  </conditionalFormatting>
  <conditionalFormatting sqref="BV67:BV68">
    <cfRule type="cellIs" dxfId="4" priority="15" operator="equal">
      <formula>0</formula>
    </cfRule>
  </conditionalFormatting>
  <conditionalFormatting sqref="BW4:BW24 BW28:BW48">
    <cfRule type="cellIs" dxfId="3" priority="44" operator="lessThan">
      <formula>0</formula>
    </cfRule>
    <cfRule type="cellIs" dxfId="2" priority="45" operator="greaterThan">
      <formula>0</formula>
    </cfRule>
  </conditionalFormatting>
  <conditionalFormatting sqref="BW52:BW71">
    <cfRule type="cellIs" dxfId="1" priority="18" operator="lessThan">
      <formula>0</formula>
    </cfRule>
    <cfRule type="cellIs" dxfId="0" priority="19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2CCA7-3FE2-4EEB-8ADD-3EE2C5E3757E}">
  <sheetPr>
    <tabColor theme="8"/>
  </sheetPr>
  <dimension ref="A1"/>
  <sheetViews>
    <sheetView topLeftCell="A3" workbookViewId="0">
      <selection activeCell="W33" sqref="W33"/>
    </sheetView>
  </sheetViews>
  <sheetFormatPr defaultRowHeight="17.399999999999999" x14ac:dyDescent="0.4"/>
  <sheetData>
    <row r="1" spans="1:1" x14ac:dyDescent="0.4">
      <c r="A1" t="s">
        <v>188</v>
      </c>
    </row>
  </sheetData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E27F-AD95-4CBC-847B-C455FC0DAA59}">
  <dimension ref="A1:P23"/>
  <sheetViews>
    <sheetView topLeftCell="B1" zoomScaleNormal="100" workbookViewId="0">
      <selection activeCell="L21" sqref="D3:L21"/>
    </sheetView>
  </sheetViews>
  <sheetFormatPr defaultColWidth="8.69921875" defaultRowHeight="13.2" x14ac:dyDescent="0.4"/>
  <cols>
    <col min="1" max="1" width="8.69921875" style="156"/>
    <col min="2" max="2" width="12.5" style="16" customWidth="1"/>
    <col min="3" max="3" width="18.59765625" style="16" customWidth="1"/>
    <col min="4" max="5" width="8.796875" style="16" bestFit="1" customWidth="1"/>
    <col min="6" max="6" width="8.796875" style="578" bestFit="1" customWidth="1"/>
    <col min="7" max="7" width="8.796875" style="16" bestFit="1" customWidth="1"/>
    <col min="8" max="8" width="8.796875" style="578" bestFit="1" customWidth="1"/>
    <col min="9" max="9" width="8.69921875" style="16"/>
    <col min="10" max="11" width="8.796875" style="16" bestFit="1" customWidth="1"/>
    <col min="12" max="12" width="8.796875" style="578" bestFit="1" customWidth="1"/>
    <col min="13" max="32" width="8.69921875" style="16"/>
    <col min="33" max="34" width="8.69921875" style="16" customWidth="1"/>
    <col min="35" max="16384" width="8.69921875" style="16"/>
  </cols>
  <sheetData>
    <row r="1" spans="1:16" x14ac:dyDescent="0.4">
      <c r="B1" s="143" t="s">
        <v>212</v>
      </c>
    </row>
    <row r="2" spans="1:16" s="4" customFormat="1" x14ac:dyDescent="0.4">
      <c r="A2" s="157"/>
      <c r="B2" s="601"/>
      <c r="C2" s="604"/>
      <c r="D2" s="164" t="s">
        <v>447</v>
      </c>
      <c r="E2" s="164" t="s">
        <v>236</v>
      </c>
      <c r="F2" s="589" t="s">
        <v>78</v>
      </c>
      <c r="G2" s="164" t="s">
        <v>416</v>
      </c>
      <c r="H2" s="589" t="s">
        <v>9</v>
      </c>
      <c r="I2" s="603"/>
      <c r="J2" s="164" t="s">
        <v>448</v>
      </c>
      <c r="K2" s="164" t="s">
        <v>310</v>
      </c>
      <c r="L2" s="589" t="s">
        <v>78</v>
      </c>
    </row>
    <row r="3" spans="1:16" s="4" customFormat="1" x14ac:dyDescent="0.4">
      <c r="A3" s="157">
        <f>INDEX('2025 IS_Quarterly'!$A$3:$A$23,MATCH(PL!C3,'2025 IS_Quarterly'!$C$3:$C$23,0))</f>
        <v>2</v>
      </c>
      <c r="B3" s="460" t="s">
        <v>83</v>
      </c>
      <c r="C3" s="460" t="s">
        <v>230</v>
      </c>
      <c r="D3" s="461">
        <f>HLOOKUP(D$2,'2025 IS_Quarterly'!$3:$23,$A3,0)</f>
        <v>82.997</v>
      </c>
      <c r="E3" s="461">
        <f>HLOOKUP(E$2,'2025 IS_Quarterly'!$3:$23,$A3,0)</f>
        <v>59.414000000000001</v>
      </c>
      <c r="F3" s="579">
        <f>D3/E3-1</f>
        <v>0.39692665028444463</v>
      </c>
      <c r="G3" s="461">
        <f>HLOOKUP(G$2,'2025 IS_Quarterly'!$3:$23,$A3,0)</f>
        <v>83.284000000000006</v>
      </c>
      <c r="H3" s="579">
        <f>D3/G3-1</f>
        <v>-3.4460400557130288E-3</v>
      </c>
      <c r="I3" s="462"/>
      <c r="J3" s="461">
        <f>HLOOKUP(J$2,'2025 IS_YTD'!$3:$23,$A3,0)</f>
        <v>243.39400000000001</v>
      </c>
      <c r="K3" s="461">
        <f>HLOOKUP(K$2,'2025 IS_YTD'!$3:$23,$A3,0)</f>
        <v>168.53399999999999</v>
      </c>
      <c r="L3" s="579">
        <f>J3/K3-1</f>
        <v>0.44418336952781057</v>
      </c>
    </row>
    <row r="4" spans="1:16" x14ac:dyDescent="0.4">
      <c r="A4" s="156">
        <f>INDEX('2025 IS_Quarterly'!$A$3:$A$23,MATCH(PL!C4,'2025 IS_Quarterly'!$C$3:$C$23,0))</f>
        <v>3</v>
      </c>
      <c r="B4" s="15" t="s">
        <v>84</v>
      </c>
      <c r="C4" s="15" t="s">
        <v>79</v>
      </c>
      <c r="D4" s="444">
        <f>HLOOKUP(D$2,'2025 IS_Quarterly'!$3:$23,$A4,0)</f>
        <v>-19.273</v>
      </c>
      <c r="E4" s="444">
        <f>HLOOKUP(E$2,'2025 IS_Quarterly'!$3:$23,$A4,0)</f>
        <v>-12.814</v>
      </c>
      <c r="F4" s="580">
        <f t="shared" ref="F4:F10" si="0">D4/E4-1</f>
        <v>0.50405806149523946</v>
      </c>
      <c r="G4" s="444">
        <f>HLOOKUP(G$2,'2025 IS_Quarterly'!$3:$23,$A4,0)</f>
        <v>-19.265999999999998</v>
      </c>
      <c r="H4" s="580">
        <f t="shared" ref="H4:H10" si="1">D4/G4-1</f>
        <v>3.6333437143154512E-4</v>
      </c>
      <c r="I4" s="443"/>
      <c r="J4" s="444">
        <f>HLOOKUP(J$2,'2025 IS_YTD'!$3:$23,$A4,0)</f>
        <v>-54.325000000000003</v>
      </c>
      <c r="K4" s="444">
        <f>HLOOKUP(K$2,'2025 IS_YTD'!$3:$23,$A4,0)</f>
        <v>-34.219000000000001</v>
      </c>
      <c r="L4" s="580">
        <f>J4/K4-1</f>
        <v>0.58756831000321452</v>
      </c>
    </row>
    <row r="5" spans="1:16" x14ac:dyDescent="0.4">
      <c r="B5" s="15" t="s">
        <v>80</v>
      </c>
      <c r="C5" s="15" t="s">
        <v>80</v>
      </c>
      <c r="D5" s="445">
        <f>IFERROR(D4/(-D$3),)</f>
        <v>0.23221321252575394</v>
      </c>
      <c r="E5" s="445">
        <f>IFERROR(E4/(-E$3),)</f>
        <v>0.21567307368633654</v>
      </c>
      <c r="F5" s="584">
        <f>D5-E5</f>
        <v>1.6540138839417406E-2</v>
      </c>
      <c r="G5" s="445">
        <f>IFERROR(G4/(-G$3),)</f>
        <v>0.23132894673646795</v>
      </c>
      <c r="H5" s="584">
        <f>D5-G5</f>
        <v>8.8426578928599286E-4</v>
      </c>
      <c r="I5" s="443"/>
      <c r="J5" s="445">
        <f>IFERROR(J4/(-J$3),)</f>
        <v>0.22319777808820268</v>
      </c>
      <c r="K5" s="445">
        <f>IFERROR(K4/(-K$3),)</f>
        <v>0.20303914937045345</v>
      </c>
      <c r="L5" s="584">
        <f>J5-K5</f>
        <v>2.0158628717749233E-2</v>
      </c>
    </row>
    <row r="6" spans="1:16" s="4" customFormat="1" x14ac:dyDescent="0.4">
      <c r="A6" s="157">
        <f>INDEX('2025 IS_Quarterly'!$A$3:$A$23,MATCH(PL!C6,'2025 IS_Quarterly'!$C$3:$C$23,0))</f>
        <v>5</v>
      </c>
      <c r="B6" s="463" t="s">
        <v>85</v>
      </c>
      <c r="C6" s="463" t="s">
        <v>306</v>
      </c>
      <c r="D6" s="458">
        <f>HLOOKUP(D$2,'2025 IS_Quarterly'!$3:$23,$A6,0)</f>
        <v>63.724000000000004</v>
      </c>
      <c r="E6" s="458">
        <f>HLOOKUP(E$2,'2025 IS_Quarterly'!$3:$23,$A6,0)</f>
        <v>46.6</v>
      </c>
      <c r="F6" s="581">
        <f t="shared" si="0"/>
        <v>0.36746781115879834</v>
      </c>
      <c r="G6" s="458">
        <f>HLOOKUP(G$2,'2025 IS_Quarterly'!$3:$23,$A6,0)</f>
        <v>64.018000000000001</v>
      </c>
      <c r="H6" s="581">
        <f t="shared" si="1"/>
        <v>-4.5924583710831302E-3</v>
      </c>
      <c r="I6" s="462"/>
      <c r="J6" s="458">
        <f>HLOOKUP(J$2,'2025 IS_YTD'!$3:$23,$A6,0)</f>
        <v>189.06900000000002</v>
      </c>
      <c r="K6" s="458">
        <f>HLOOKUP(K$2,'2025 IS_YTD'!$3:$23,$A6,0)</f>
        <v>134.315</v>
      </c>
      <c r="L6" s="581">
        <f>J6/K6-1</f>
        <v>0.40765365000186149</v>
      </c>
    </row>
    <row r="7" spans="1:16" s="4" customFormat="1" x14ac:dyDescent="0.4">
      <c r="A7" s="157"/>
      <c r="B7" s="463" t="s">
        <v>80</v>
      </c>
      <c r="C7" s="463" t="s">
        <v>80</v>
      </c>
      <c r="D7" s="464">
        <f>D6/D$3</f>
        <v>0.76778678747424611</v>
      </c>
      <c r="E7" s="464">
        <f>E6/E$3</f>
        <v>0.78432692631366341</v>
      </c>
      <c r="F7" s="585">
        <f>D7-E7</f>
        <v>-1.6540138839417295E-2</v>
      </c>
      <c r="G7" s="464">
        <f>G6/G$3</f>
        <v>0.76867105326353191</v>
      </c>
      <c r="H7" s="585">
        <f>D7-G7</f>
        <v>-8.8426578928579858E-4</v>
      </c>
      <c r="I7" s="462"/>
      <c r="J7" s="464">
        <f>J6/J$3</f>
        <v>0.77680222191179737</v>
      </c>
      <c r="K7" s="464">
        <f>K6/K$3</f>
        <v>0.79696085062954658</v>
      </c>
      <c r="L7" s="585">
        <f>J7-K7</f>
        <v>-2.0158628717749205E-2</v>
      </c>
    </row>
    <row r="8" spans="1:16" x14ac:dyDescent="0.4">
      <c r="A8" s="156">
        <f>INDEX('2025 IS_Quarterly'!$A$3:$A$23,MATCH(PL!C8,'2025 IS_Quarterly'!$C$3:$C$23,0))</f>
        <v>7</v>
      </c>
      <c r="B8" s="15" t="s">
        <v>86</v>
      </c>
      <c r="C8" s="15" t="s">
        <v>81</v>
      </c>
      <c r="D8" s="444">
        <f>HLOOKUP(D$2,'2025 IS_Quarterly'!$3:$23,$A8,0)</f>
        <v>-26.106000000000002</v>
      </c>
      <c r="E8" s="444">
        <f>HLOOKUP(E$2,'2025 IS_Quarterly'!$3:$23,$A8,0)</f>
        <v>-17.648</v>
      </c>
      <c r="F8" s="580">
        <f t="shared" si="0"/>
        <v>0.4792611060743428</v>
      </c>
      <c r="G8" s="444">
        <f>HLOOKUP(G$2,'2025 IS_Quarterly'!$3:$23,$A8,0)</f>
        <v>-21.007000000000001</v>
      </c>
      <c r="H8" s="580">
        <f t="shared" si="1"/>
        <v>0.24272861427143333</v>
      </c>
      <c r="I8" s="443"/>
      <c r="J8" s="444">
        <f>HLOOKUP(J$2,'2025 IS_YTD'!$3:$23,$A8,0)</f>
        <v>-69.658999999999992</v>
      </c>
      <c r="K8" s="444">
        <f>HLOOKUP(K$2,'2025 IS_YTD'!$3:$23,$A8,0)</f>
        <v>-47.668000000000006</v>
      </c>
      <c r="L8" s="580">
        <f>J8/K8-1</f>
        <v>0.46133674582529127</v>
      </c>
    </row>
    <row r="9" spans="1:16" x14ac:dyDescent="0.4">
      <c r="B9" s="15" t="s">
        <v>80</v>
      </c>
      <c r="C9" s="15" t="s">
        <v>80</v>
      </c>
      <c r="D9" s="445">
        <f>IFERROR(D8/(-D$3),)</f>
        <v>0.31454148945142596</v>
      </c>
      <c r="E9" s="445">
        <f>IFERROR(E8/(-E$3),)</f>
        <v>0.29703436900393843</v>
      </c>
      <c r="F9" s="584">
        <f>D9-E9</f>
        <v>1.7507120447487534E-2</v>
      </c>
      <c r="G9" s="445">
        <f>IFERROR(G8/(-G$3),)</f>
        <v>0.25223332212669902</v>
      </c>
      <c r="H9" s="584">
        <f>D9-G9</f>
        <v>6.2308167324726937E-2</v>
      </c>
      <c r="I9" s="446"/>
      <c r="J9" s="445">
        <f>IFERROR(J8/(-J$3),)</f>
        <v>0.28619850941272174</v>
      </c>
      <c r="K9" s="445">
        <f>IFERROR(K8/(-K$3),)</f>
        <v>0.28283907104797851</v>
      </c>
      <c r="L9" s="584">
        <f>J9-K9</f>
        <v>3.359438364743228E-3</v>
      </c>
    </row>
    <row r="10" spans="1:16" s="4" customFormat="1" x14ac:dyDescent="0.4">
      <c r="A10" s="157">
        <f>INDEX('2025 IS_Quarterly'!$A$3:$A$23,MATCH(PL!C10,'2025 IS_Quarterly'!$C$3:$C$23,0))</f>
        <v>9</v>
      </c>
      <c r="B10" s="460" t="s">
        <v>87</v>
      </c>
      <c r="C10" s="460" t="s">
        <v>307</v>
      </c>
      <c r="D10" s="461">
        <f>HLOOKUP(D$2,'2025 IS_Quarterly'!$3:$23,$A10,0)</f>
        <v>37.618000000000002</v>
      </c>
      <c r="E10" s="461">
        <f>HLOOKUP(E$2,'2025 IS_Quarterly'!$3:$23,$A10,0)</f>
        <v>28.952000000000002</v>
      </c>
      <c r="F10" s="579">
        <f t="shared" si="0"/>
        <v>0.29932301740812384</v>
      </c>
      <c r="G10" s="461">
        <f>HLOOKUP(G$2,'2025 IS_Quarterly'!$3:$23,$A10,0)</f>
        <v>43.010999999999996</v>
      </c>
      <c r="H10" s="579">
        <f t="shared" si="1"/>
        <v>-0.12538652902745795</v>
      </c>
      <c r="I10" s="462"/>
      <c r="J10" s="461">
        <f>HLOOKUP(J$2,'2025 IS_YTD'!$3:$23,$A10,0)</f>
        <v>119.41</v>
      </c>
      <c r="K10" s="461">
        <f>HLOOKUP(K$2,'2025 IS_YTD'!$3:$23,$A10,0)</f>
        <v>86.647999999999996</v>
      </c>
      <c r="L10" s="579">
        <f>J10/K10-1</f>
        <v>0.37810451481857643</v>
      </c>
    </row>
    <row r="11" spans="1:16" s="4" customFormat="1" x14ac:dyDescent="0.4">
      <c r="A11" s="157"/>
      <c r="B11" s="460" t="s">
        <v>125</v>
      </c>
      <c r="C11" s="460" t="s">
        <v>80</v>
      </c>
      <c r="D11" s="599">
        <f>D10/D$3</f>
        <v>0.45324529802282015</v>
      </c>
      <c r="E11" s="599">
        <f>E10/E$3</f>
        <v>0.48729255730972498</v>
      </c>
      <c r="F11" s="600">
        <f>D11-E11</f>
        <v>-3.404725928690483E-2</v>
      </c>
      <c r="G11" s="599">
        <f>G10/G$3</f>
        <v>0.51643773113683289</v>
      </c>
      <c r="H11" s="600">
        <f>D11-G11</f>
        <v>-6.3192433114012736E-2</v>
      </c>
      <c r="I11" s="462"/>
      <c r="J11" s="599">
        <f>J10/J$3</f>
        <v>0.49060371249907553</v>
      </c>
      <c r="K11" s="599">
        <f>K10/K$3</f>
        <v>0.51412771310240069</v>
      </c>
      <c r="L11" s="600">
        <f>J11-K11</f>
        <v>-2.3524000603325157E-2</v>
      </c>
    </row>
    <row r="12" spans="1:16" x14ac:dyDescent="0.4">
      <c r="A12" s="156">
        <f>INDEX('2025 IS_Quarterly'!$A$3:$A$23,MATCH(PL!C12,'2025 IS_Quarterly'!$C$3:$C$23,0))</f>
        <v>11</v>
      </c>
      <c r="B12" s="15" t="s">
        <v>194</v>
      </c>
      <c r="C12" s="15" t="s">
        <v>59</v>
      </c>
      <c r="D12" s="444">
        <f>HLOOKUP(D$2,'2025 IS_Quarterly'!$3:$23,$A12,0)</f>
        <v>2.2450000000000001</v>
      </c>
      <c r="E12" s="444">
        <f>HLOOKUP(E$2,'2025 IS_Quarterly'!$3:$23,$A12,0)</f>
        <v>-3.06</v>
      </c>
      <c r="F12" s="580">
        <f t="shared" ref="F12" si="2">D12/E12-1</f>
        <v>-1.7336601307189543</v>
      </c>
      <c r="G12" s="444">
        <f>HLOOKUP(G$2,'2025 IS_Quarterly'!$3:$23,$A12,0)</f>
        <v>1.0189999999999999</v>
      </c>
      <c r="H12" s="580">
        <f t="shared" ref="H12" si="3">D12/G12-1</f>
        <v>1.2031403336604516</v>
      </c>
      <c r="I12" s="446"/>
      <c r="J12" s="444">
        <f>HLOOKUP(J$2,'2025 IS_YTD'!$3:$23,$A12,0)</f>
        <v>5.4009999999999998</v>
      </c>
      <c r="K12" s="444">
        <f>HLOOKUP(K$2,'2025 IS_YTD'!$3:$23,$A12,0)</f>
        <v>8.2739999999999991</v>
      </c>
      <c r="L12" s="580">
        <f t="shared" ref="L12" si="4">J12/K12-1</f>
        <v>-0.34723229393280153</v>
      </c>
      <c r="N12" s="154"/>
      <c r="O12" s="154"/>
      <c r="P12" s="155"/>
    </row>
    <row r="13" spans="1:16" x14ac:dyDescent="0.4">
      <c r="A13" s="156">
        <f>INDEX('2025 IS_Quarterly'!$A$3:$A$23,MATCH(PL!C13,'2025 IS_Quarterly'!$C$3:$C$23,0))</f>
        <v>12</v>
      </c>
      <c r="B13" s="15" t="s">
        <v>195</v>
      </c>
      <c r="C13" s="15" t="s">
        <v>60</v>
      </c>
      <c r="D13" s="444">
        <f>HLOOKUP(D$2,'2025 IS_Quarterly'!$3:$23,$A13,0)</f>
        <v>2.9740000000000002</v>
      </c>
      <c r="E13" s="444">
        <f>HLOOKUP(E$2,'2025 IS_Quarterly'!$3:$23,$A13,0)</f>
        <v>-2.6746856170000002</v>
      </c>
      <c r="F13" s="580">
        <f t="shared" ref="F13:F20" si="5">D13/E13-1</f>
        <v>-2.1119063792385884</v>
      </c>
      <c r="G13" s="444">
        <f>HLOOKUP(G$2,'2025 IS_Quarterly'!$3:$23,$A13,0)</f>
        <v>-11.505000000000001</v>
      </c>
      <c r="H13" s="580">
        <f t="shared" ref="H13:H20" si="6">D13/G13-1</f>
        <v>-1.2584963059539331</v>
      </c>
      <c r="I13" s="446"/>
      <c r="J13" s="444">
        <f>HLOOKUP(J$2,'2025 IS_YTD'!$3:$23,$A13,0)</f>
        <v>-9.9425860000000004</v>
      </c>
      <c r="K13" s="444">
        <f>HLOOKUP(K$2,'2025 IS_YTD'!$3:$23,$A13,0)</f>
        <v>-5.3096756169999999</v>
      </c>
      <c r="L13" s="580">
        <f t="shared" ref="L13:L21" si="7">J13/K13-1</f>
        <v>0.87254113380614085</v>
      </c>
      <c r="N13" s="154"/>
      <c r="O13" s="154"/>
      <c r="P13" s="155"/>
    </row>
    <row r="14" spans="1:16" x14ac:dyDescent="0.4">
      <c r="A14" s="156">
        <f>INDEX('2025 IS_Quarterly'!$A$3:$A$23,MATCH(PL!C14,'2025 IS_Quarterly'!$C$3:$C$23,0))</f>
        <v>13</v>
      </c>
      <c r="B14" s="15" t="s">
        <v>197</v>
      </c>
      <c r="C14" s="15" t="s">
        <v>61</v>
      </c>
      <c r="D14" s="444">
        <f>HLOOKUP(D$2,'2025 IS_Quarterly'!$3:$23,$A14,0)</f>
        <v>5.3999999999999999E-2</v>
      </c>
      <c r="E14" s="444">
        <f>HLOOKUP(E$2,'2025 IS_Quarterly'!$3:$23,$A14,0)</f>
        <v>1.3751589999999999E-3</v>
      </c>
      <c r="F14" s="582">
        <f t="shared" si="5"/>
        <v>38.268186442440474</v>
      </c>
      <c r="G14" s="444">
        <f>HLOOKUP(G$2,'2025 IS_Quarterly'!$3:$23,$A14,0)</f>
        <v>3.5999999999999997E-2</v>
      </c>
      <c r="H14" s="582">
        <f t="shared" si="6"/>
        <v>0.5</v>
      </c>
      <c r="I14" s="446"/>
      <c r="J14" s="444">
        <f>HLOOKUP(J$2,'2025 IS_YTD'!$3:$23,$A14,0)</f>
        <v>0.13499999999999998</v>
      </c>
      <c r="K14" s="444">
        <f>HLOOKUP(K$2,'2025 IS_YTD'!$3:$23,$A14,0)</f>
        <v>1.0775158999999999E-2</v>
      </c>
      <c r="L14" s="582">
        <f t="shared" si="7"/>
        <v>11.528817440188121</v>
      </c>
    </row>
    <row r="15" spans="1:16" x14ac:dyDescent="0.4">
      <c r="A15" s="156">
        <f>INDEX('2025 IS_Quarterly'!$A$3:$A$23,MATCH(PL!C15,'2025 IS_Quarterly'!$C$3:$C$23,0))</f>
        <v>14</v>
      </c>
      <c r="B15" s="15" t="s">
        <v>199</v>
      </c>
      <c r="C15" s="15" t="s">
        <v>62</v>
      </c>
      <c r="D15" s="444">
        <f>HLOOKUP(D$2,'2025 IS_Quarterly'!$3:$23,$A15,0)</f>
        <v>-4.9000000000000002E-2</v>
      </c>
      <c r="E15" s="444">
        <f>HLOOKUP(E$2,'2025 IS_Quarterly'!$3:$23,$A15,0)</f>
        <v>2.069708E-3</v>
      </c>
      <c r="F15" s="580">
        <f t="shared" si="5"/>
        <v>-24.674837223415093</v>
      </c>
      <c r="G15" s="444">
        <f>HLOOKUP(G$2,'2025 IS_Quarterly'!$3:$23,$A15,0)</f>
        <v>-0.65</v>
      </c>
      <c r="H15" s="580">
        <f t="shared" si="6"/>
        <v>-0.92461538461538462</v>
      </c>
      <c r="I15" s="446"/>
      <c r="J15" s="444">
        <f>HLOOKUP(J$2,'2025 IS_YTD'!$3:$23,$A15,0)</f>
        <v>-0.70041400000000009</v>
      </c>
      <c r="K15" s="444">
        <f>HLOOKUP(K$2,'2025 IS_YTD'!$3:$23,$A15,0)</f>
        <v>0.22505970800000002</v>
      </c>
      <c r="L15" s="580">
        <f t="shared" si="7"/>
        <v>-4.1121252498914647</v>
      </c>
    </row>
    <row r="16" spans="1:16" ht="39.6" x14ac:dyDescent="0.4">
      <c r="A16" s="156" t="e">
        <f>INDEX('2025 IS_Quarterly'!$A$3:$A$23,MATCH(PL!C16,'2025 IS_Quarterly'!$C$3:$C$23,0))</f>
        <v>#N/A</v>
      </c>
      <c r="B16" s="15" t="s">
        <v>201</v>
      </c>
      <c r="C16" s="15" t="s">
        <v>305</v>
      </c>
      <c r="D16" s="444" t="e">
        <f>HLOOKUP(D$2,'2025 IS_Quarterly'!$3:$23,$A16,0)</f>
        <v>#REF!</v>
      </c>
      <c r="E16" s="444" t="e">
        <f>HLOOKUP(E$2,'2025 IS_Quarterly'!$3:$23,$A16,0)</f>
        <v>#REF!</v>
      </c>
      <c r="F16" s="580" t="e">
        <f t="shared" si="5"/>
        <v>#REF!</v>
      </c>
      <c r="G16" s="444" t="e">
        <f>HLOOKUP(G$2,'2025 IS_Quarterly'!$3:$23,$A16,0)</f>
        <v>#REF!</v>
      </c>
      <c r="H16" s="580" t="e">
        <f t="shared" si="6"/>
        <v>#REF!</v>
      </c>
      <c r="I16" s="446"/>
      <c r="J16" s="444" t="e">
        <f>HLOOKUP(J$2,'2025 IS_YTD'!$3:$23,$A16,0)</f>
        <v>#REF!</v>
      </c>
      <c r="K16" s="444" t="e">
        <f>HLOOKUP(K$2,'2025 IS_YTD'!$3:$23,$A16,0)</f>
        <v>#REF!</v>
      </c>
      <c r="L16" s="580" t="e">
        <f t="shared" si="7"/>
        <v>#REF!</v>
      </c>
    </row>
    <row r="17" spans="1:12" x14ac:dyDescent="0.4">
      <c r="A17" s="156">
        <f>INDEX('2025 IS_Quarterly'!$A$3:$A$23,MATCH(PL!C17,'2025 IS_Quarterly'!$C$3:$C$23,0))</f>
        <v>16</v>
      </c>
      <c r="B17" s="15" t="s">
        <v>202</v>
      </c>
      <c r="C17" s="15" t="s">
        <v>266</v>
      </c>
      <c r="D17" s="444">
        <f>HLOOKUP(D$2,'2025 IS_Quarterly'!$3:$23,$A17,0)</f>
        <v>-9.7340000000000089</v>
      </c>
      <c r="E17" s="444">
        <f>HLOOKUP(E$2,'2025 IS_Quarterly'!$3:$23,$A17,0)</f>
        <v>-5.9085837840000011</v>
      </c>
      <c r="F17" s="580">
        <f t="shared" si="5"/>
        <v>0.64743369237801884</v>
      </c>
      <c r="G17" s="444">
        <f>HLOOKUP(G$2,'2025 IS_Quarterly'!$3:$23,$A17,0)</f>
        <v>-5.438999999999993</v>
      </c>
      <c r="H17" s="580">
        <f t="shared" si="6"/>
        <v>0.78966721823865083</v>
      </c>
      <c r="I17" s="443"/>
      <c r="J17" s="444">
        <f>HLOOKUP(J$2,'2025 IS_YTD'!$3:$23,$A17,0)</f>
        <v>-25.000000000000007</v>
      </c>
      <c r="K17" s="444">
        <f>HLOOKUP(K$2,'2025 IS_YTD'!$3:$23,$A17,0)</f>
        <v>-19.871983784000001</v>
      </c>
      <c r="L17" s="580">
        <f t="shared" si="7"/>
        <v>0.25805255638990832</v>
      </c>
    </row>
    <row r="18" spans="1:12" s="4" customFormat="1" x14ac:dyDescent="0.4">
      <c r="A18" s="157">
        <f>INDEX('2025 IS_Quarterly'!$A$3:$A$23,MATCH(PL!C18,'2025 IS_Quarterly'!$C$3:$C$23,0))</f>
        <v>17</v>
      </c>
      <c r="B18" s="463" t="s">
        <v>410</v>
      </c>
      <c r="C18" s="62" t="s">
        <v>411</v>
      </c>
      <c r="D18" s="458">
        <f>HLOOKUP(D$2,'2025 IS_Quarterly'!$3:$23,$A18,0)</f>
        <v>33.107999999999997</v>
      </c>
      <c r="E18" s="458">
        <f>HLOOKUP(E$2,'2025 IS_Quarterly'!$3:$23,$A18,0)</f>
        <v>16.489519919999999</v>
      </c>
      <c r="F18" s="581">
        <f t="shared" si="5"/>
        <v>1.0078207346621162</v>
      </c>
      <c r="G18" s="458">
        <f>HLOOKUP(G$2,'2025 IS_Quarterly'!$3:$23,$A18,0)</f>
        <v>26.472000000000001</v>
      </c>
      <c r="H18" s="581">
        <f t="shared" si="6"/>
        <v>0.25067996373526724</v>
      </c>
      <c r="I18" s="462"/>
      <c r="J18" s="458">
        <f>HLOOKUP(J$2,'2025 IS_YTD'!$3:$23,$A18,0)</f>
        <v>89.302999999999997</v>
      </c>
      <c r="K18" s="458">
        <f>HLOOKUP(K$2,'2025 IS_YTD'!$3:$23,$A18,0)</f>
        <v>69.153519920000008</v>
      </c>
      <c r="L18" s="581">
        <f t="shared" si="7"/>
        <v>0.29137316659093915</v>
      </c>
    </row>
    <row r="19" spans="1:12" s="4" customFormat="1" x14ac:dyDescent="0.4">
      <c r="A19" s="157"/>
      <c r="B19" s="463" t="s">
        <v>80</v>
      </c>
      <c r="C19" s="463" t="s">
        <v>80</v>
      </c>
      <c r="D19" s="464">
        <f>D18/D$3</f>
        <v>0.39890598455365855</v>
      </c>
      <c r="E19" s="464">
        <f>E18/E$3</f>
        <v>0.2775359329450971</v>
      </c>
      <c r="F19" s="585">
        <f>D19-E19</f>
        <v>0.12137005160856146</v>
      </c>
      <c r="G19" s="464">
        <f>G18/G$3</f>
        <v>0.31785216848374237</v>
      </c>
      <c r="H19" s="585">
        <f>D19-G19</f>
        <v>8.1053816069916185E-2</v>
      </c>
      <c r="I19" s="462"/>
      <c r="J19" s="464">
        <f>J18/J$3</f>
        <v>0.36690715465459295</v>
      </c>
      <c r="K19" s="464">
        <f>K18/K$3</f>
        <v>0.41032385109236125</v>
      </c>
      <c r="L19" s="585">
        <f t="shared" si="7"/>
        <v>-0.10581080364250017</v>
      </c>
    </row>
    <row r="20" spans="1:12" s="466" customFormat="1" x14ac:dyDescent="0.4">
      <c r="A20" s="157">
        <f>INDEX('2025 IS_Quarterly'!$A$3:$A$23,MATCH(PL!C20,'2025 IS_Quarterly'!$C$3:$C$23,0))</f>
        <v>20</v>
      </c>
      <c r="B20" s="465" t="s">
        <v>82</v>
      </c>
      <c r="C20" s="465" t="s">
        <v>82</v>
      </c>
      <c r="D20" s="459">
        <f>HLOOKUP(D$2,'2025 IS_Quarterly'!$3:$23,$A20,0)</f>
        <v>41.335999999999999</v>
      </c>
      <c r="E20" s="459">
        <f>HLOOKUP(E$2,'2025 IS_Quarterly'!$3:$23,$A20,0)</f>
        <v>30.156000000000002</v>
      </c>
      <c r="F20" s="583">
        <f t="shared" si="5"/>
        <v>0.37073882477782183</v>
      </c>
      <c r="G20" s="459">
        <f>HLOOKUP(G$2,'2025 IS_Quarterly'!$3:$23,$A20,0)</f>
        <v>46.654999999999994</v>
      </c>
      <c r="H20" s="583">
        <f t="shared" si="6"/>
        <v>-0.11400707319687053</v>
      </c>
      <c r="I20" s="441"/>
      <c r="J20" s="459">
        <f>HLOOKUP(J$2,'2025 IS_YTD'!$3:$23,$A20,0)</f>
        <v>130.327</v>
      </c>
      <c r="K20" s="459">
        <f>HLOOKUP(K$2,'2025 IS_YTD'!$3:$23,$A20,0)</f>
        <v>90.187344999999993</v>
      </c>
      <c r="L20" s="583">
        <f t="shared" si="7"/>
        <v>0.44506970462430195</v>
      </c>
    </row>
    <row r="21" spans="1:12" s="466" customFormat="1" x14ac:dyDescent="0.4">
      <c r="A21" s="157"/>
      <c r="B21" s="467" t="s">
        <v>80</v>
      </c>
      <c r="C21" s="467" t="s">
        <v>80</v>
      </c>
      <c r="D21" s="468">
        <f>D20/D$3</f>
        <v>0.49804209790715326</v>
      </c>
      <c r="E21" s="468">
        <f>E20/E$3</f>
        <v>0.50755714141448149</v>
      </c>
      <c r="F21" s="586">
        <f>D21-E21</f>
        <v>-9.5150435073282358E-3</v>
      </c>
      <c r="G21" s="468">
        <f>G20/G$3</f>
        <v>0.56019163344700051</v>
      </c>
      <c r="H21" s="586">
        <f>D21-G21</f>
        <v>-6.2149535539847256E-2</v>
      </c>
      <c r="I21" s="442"/>
      <c r="J21" s="468">
        <f>J20/J$3</f>
        <v>0.53545691348184421</v>
      </c>
      <c r="K21" s="468">
        <f>K20/K$3</f>
        <v>0.53512849039362975</v>
      </c>
      <c r="L21" s="586">
        <f t="shared" si="7"/>
        <v>6.1372753293853499E-4</v>
      </c>
    </row>
    <row r="23" spans="1:12" x14ac:dyDescent="0.4">
      <c r="D23" s="478"/>
      <c r="E23" s="478"/>
      <c r="G23" s="478"/>
      <c r="J23" s="478"/>
      <c r="K23" s="478"/>
    </row>
  </sheetData>
  <phoneticPr fontId="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51108-65F0-4CB1-9C3D-BBFD151C387C}">
  <dimension ref="A1:AL15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:L15"/>
    </sheetView>
  </sheetViews>
  <sheetFormatPr defaultRowHeight="13.2" x14ac:dyDescent="0.4"/>
  <cols>
    <col min="1" max="1" width="8.796875" style="156"/>
    <col min="2" max="2" width="8.796875" style="16"/>
    <col min="3" max="3" width="15.59765625" style="16" bestFit="1" customWidth="1"/>
    <col min="4" max="5" width="8.796875" style="16"/>
    <col min="6" max="6" width="8.796875" style="578"/>
    <col min="7" max="7" width="8.796875" style="16"/>
    <col min="8" max="8" width="8.796875" style="578"/>
    <col min="9" max="11" width="8.796875" style="16"/>
    <col min="12" max="12" width="8.796875" style="578"/>
    <col min="13" max="36" width="8.796875" style="16"/>
    <col min="37" max="37" width="8.796875" style="16" customWidth="1"/>
    <col min="38" max="38" width="8.796875" style="16" hidden="1" customWidth="1"/>
    <col min="39" max="16384" width="8.796875" style="16"/>
  </cols>
  <sheetData>
    <row r="1" spans="1:12" x14ac:dyDescent="0.4">
      <c r="B1" s="143" t="s">
        <v>212</v>
      </c>
      <c r="D1" s="16" t="b">
        <f>D3=D4+D5</f>
        <v>1</v>
      </c>
      <c r="E1" s="16" t="b">
        <f t="shared" ref="E1:G1" si="0">E3=E4+E5</f>
        <v>1</v>
      </c>
      <c r="G1" s="16" t="b">
        <f t="shared" si="0"/>
        <v>1</v>
      </c>
    </row>
    <row r="2" spans="1:12" s="466" customFormat="1" ht="13.8" thickBot="1" x14ac:dyDescent="0.45">
      <c r="A2" s="157"/>
      <c r="B2" s="601"/>
      <c r="C2" s="602"/>
      <c r="D2" s="164" t="s">
        <v>447</v>
      </c>
      <c r="E2" s="164" t="s">
        <v>236</v>
      </c>
      <c r="F2" s="589" t="s">
        <v>78</v>
      </c>
      <c r="G2" s="164" t="s">
        <v>416</v>
      </c>
      <c r="H2" s="589" t="s">
        <v>9</v>
      </c>
      <c r="I2" s="603"/>
      <c r="J2" s="164" t="s">
        <v>448</v>
      </c>
      <c r="K2" s="164" t="s">
        <v>310</v>
      </c>
      <c r="L2" s="589" t="s">
        <v>78</v>
      </c>
    </row>
    <row r="3" spans="1:12" x14ac:dyDescent="0.4">
      <c r="B3" s="460" t="s">
        <v>185</v>
      </c>
      <c r="C3" s="460" t="s">
        <v>215</v>
      </c>
      <c r="D3" s="461">
        <f>D4+D5</f>
        <v>83.001000000000005</v>
      </c>
      <c r="E3" s="461">
        <f>E4+E5</f>
        <v>59.411999999999999</v>
      </c>
      <c r="F3" s="579">
        <f>D3/E3-1</f>
        <v>0.39704100181781476</v>
      </c>
      <c r="G3" s="461">
        <f>G4+G5</f>
        <v>83.283999999999992</v>
      </c>
      <c r="H3" s="579">
        <f>D3/G3-1</f>
        <v>-3.398011622880559E-3</v>
      </c>
      <c r="J3" s="490">
        <f>J4+J5</f>
        <v>243.398</v>
      </c>
      <c r="K3" s="490">
        <f>K4+K5</f>
        <v>168.53200000000001</v>
      </c>
      <c r="L3" s="590">
        <f>J3/K3-1</f>
        <v>0.4442242422803977</v>
      </c>
    </row>
    <row r="4" spans="1:12" x14ac:dyDescent="0.4">
      <c r="B4" s="428" t="s">
        <v>104</v>
      </c>
      <c r="C4" s="429" t="s">
        <v>406</v>
      </c>
      <c r="D4" s="454">
        <f>D7+D10+D13</f>
        <v>52.994</v>
      </c>
      <c r="E4" s="454">
        <f>E7+E10+E13</f>
        <v>40.223999999999997</v>
      </c>
      <c r="F4" s="587">
        <f>D4/E4-1</f>
        <v>0.31747215592680988</v>
      </c>
      <c r="G4" s="454">
        <f>G7+G10+G13</f>
        <v>53.395999999999994</v>
      </c>
      <c r="H4" s="587">
        <f>D4/G4-1</f>
        <v>-7.5286538317476115E-3</v>
      </c>
      <c r="J4" s="454">
        <f>J7+J10+J13</f>
        <v>158.923</v>
      </c>
      <c r="K4" s="454">
        <f>K7+K10+K13</f>
        <v>114.193</v>
      </c>
      <c r="L4" s="587">
        <f>J4/K4-1</f>
        <v>0.39170527090101848</v>
      </c>
    </row>
    <row r="5" spans="1:12" x14ac:dyDescent="0.4">
      <c r="B5" s="430" t="s">
        <v>105</v>
      </c>
      <c r="C5" s="431" t="s">
        <v>407</v>
      </c>
      <c r="D5" s="455">
        <f>D8+D11+D14+D15</f>
        <v>30.006999999999998</v>
      </c>
      <c r="E5" s="455">
        <f>E8+E11+E14+E15</f>
        <v>19.188000000000002</v>
      </c>
      <c r="F5" s="588">
        <f>D5/E5-1</f>
        <v>0.5638419845736915</v>
      </c>
      <c r="G5" s="455">
        <f>G8+G11+G14+G15</f>
        <v>29.887999999999998</v>
      </c>
      <c r="H5" s="588">
        <f>D5/G5-1</f>
        <v>3.9815310492505862E-3</v>
      </c>
      <c r="J5" s="455">
        <f>J8+J11+J14+J15</f>
        <v>84.474999999999994</v>
      </c>
      <c r="K5" s="455">
        <f>K8+K11+K14+K15</f>
        <v>54.339000000000006</v>
      </c>
      <c r="L5" s="588">
        <f>J5/K5-1</f>
        <v>0.55459246581644828</v>
      </c>
    </row>
    <row r="6" spans="1:12" s="4" customFormat="1" x14ac:dyDescent="0.4">
      <c r="A6" s="157">
        <f>INDEX('2025 IS_Quarterly'!$A$26:$A$41,MATCH(C6,'2025 IS_Quarterly'!$C$26:$C$41,0))</f>
        <v>2</v>
      </c>
      <c r="B6" s="427" t="str">
        <f>'2025 IS_Quarterly'!B27</f>
        <v>장비</v>
      </c>
      <c r="C6" s="427" t="str">
        <f>'2025 IS_Quarterly'!C27</f>
        <v>Device</v>
      </c>
      <c r="D6" s="440">
        <f>D7+D8</f>
        <v>42.947000000000003</v>
      </c>
      <c r="E6" s="440">
        <f>E7+E8</f>
        <v>32.734000000000002</v>
      </c>
      <c r="F6" s="581">
        <f>D6/E6-1</f>
        <v>0.31199975560579207</v>
      </c>
      <c r="G6" s="440">
        <f>G7+G8</f>
        <v>45.49</v>
      </c>
      <c r="H6" s="581">
        <f>D6/G6-1</f>
        <v>-5.5902396131017773E-2</v>
      </c>
      <c r="J6" s="440">
        <f t="shared" ref="J6:K6" si="1">J7+J8</f>
        <v>123.504</v>
      </c>
      <c r="K6" s="440">
        <f t="shared" si="1"/>
        <v>85.828000000000003</v>
      </c>
      <c r="L6" s="581">
        <f>J6/K6-1</f>
        <v>0.43897096518618639</v>
      </c>
    </row>
    <row r="7" spans="1:12" x14ac:dyDescent="0.4">
      <c r="A7" s="156">
        <f>A6+1</f>
        <v>3</v>
      </c>
      <c r="B7" s="432" t="str">
        <f>'2025 IS_Quarterly'!B28</f>
        <v>수출</v>
      </c>
      <c r="C7" s="432" t="str">
        <f>'2025 IS_Quarterly'!C28</f>
        <v>Global</v>
      </c>
      <c r="D7" s="456">
        <f>HLOOKUP(D$2,'2025 IS_Quarterly'!$26:$41,$A7,0)</f>
        <v>31.338000000000001</v>
      </c>
      <c r="E7" s="456">
        <f>HLOOKUP(E$2,'2025 IS_Quarterly'!$26:$41,$A7,0)</f>
        <v>26.491</v>
      </c>
      <c r="F7" s="580">
        <f t="shared" ref="F7:F14" si="2">D7/E7-1</f>
        <v>0.18296780038503657</v>
      </c>
      <c r="G7" s="456">
        <f>HLOOKUP(G$2,'2025 IS_Quarterly'!$26:$41,$A7,0)</f>
        <v>32.86</v>
      </c>
      <c r="H7" s="580">
        <f t="shared" ref="H7:H14" si="3">D7/G7-1</f>
        <v>-4.6317711503347514E-2</v>
      </c>
      <c r="J7" s="456">
        <f>HLOOKUP(J$2,'2025 IS_YTD'!$26:$41,$A7,0)</f>
        <v>90.102000000000004</v>
      </c>
      <c r="K7" s="456">
        <f>HLOOKUP(K$2,'2025 IS_YTD'!$26:$41,$A7,0)</f>
        <v>66.33</v>
      </c>
      <c r="L7" s="580">
        <f t="shared" ref="L7:L14" si="4">J7/K7-1</f>
        <v>0.35838986883763013</v>
      </c>
    </row>
    <row r="8" spans="1:12" x14ac:dyDescent="0.4">
      <c r="A8" s="156">
        <f>A7+1</f>
        <v>4</v>
      </c>
      <c r="B8" s="432" t="str">
        <f>'2025 IS_Quarterly'!B29</f>
        <v>내수</v>
      </c>
      <c r="C8" s="432" t="str">
        <f>'2025 IS_Quarterly'!C29</f>
        <v>Korea</v>
      </c>
      <c r="D8" s="456">
        <f>HLOOKUP(D$2,'2025 IS_Quarterly'!$26:$41,$A8,0)</f>
        <v>11.609</v>
      </c>
      <c r="E8" s="456">
        <f>HLOOKUP(E$2,'2025 IS_Quarterly'!$26:$41,$A8,0)</f>
        <v>6.2430000000000003</v>
      </c>
      <c r="F8" s="580">
        <f t="shared" si="2"/>
        <v>0.85952266538523125</v>
      </c>
      <c r="G8" s="456">
        <f>HLOOKUP(G$2,'2025 IS_Quarterly'!$26:$41,$A8,0)</f>
        <v>12.63</v>
      </c>
      <c r="H8" s="580">
        <f t="shared" si="3"/>
        <v>-8.0839271575613658E-2</v>
      </c>
      <c r="J8" s="456">
        <f>HLOOKUP(J$2,'2025 IS_YTD'!$26:$41,$A8,0)</f>
        <v>33.402000000000001</v>
      </c>
      <c r="K8" s="456">
        <f>HLOOKUP(K$2,'2025 IS_YTD'!$26:$41,$A8,0)</f>
        <v>19.497999999999998</v>
      </c>
      <c r="L8" s="580">
        <f t="shared" si="4"/>
        <v>0.71309877936198607</v>
      </c>
    </row>
    <row r="9" spans="1:12" s="4" customFormat="1" x14ac:dyDescent="0.4">
      <c r="A9" s="157">
        <f>INDEX('2025 IS_Quarterly'!$A$26:$A$41,MATCH(C9,'2025 IS_Quarterly'!$C$26:$C$41,0))</f>
        <v>5</v>
      </c>
      <c r="B9" s="427" t="str">
        <f>'2025 IS_Quarterly'!B30</f>
        <v>소모품</v>
      </c>
      <c r="C9" s="427" t="str">
        <f>'2025 IS_Quarterly'!C30</f>
        <v>Consumable</v>
      </c>
      <c r="D9" s="440">
        <f>D10+D11</f>
        <v>37.308999999999997</v>
      </c>
      <c r="E9" s="440">
        <f>E10+E11</f>
        <v>26.009</v>
      </c>
      <c r="F9" s="581">
        <f t="shared" si="2"/>
        <v>0.43446499288707741</v>
      </c>
      <c r="G9" s="440">
        <f>G10+G11</f>
        <v>35.207999999999998</v>
      </c>
      <c r="H9" s="581">
        <f t="shared" si="3"/>
        <v>5.9673937741422378E-2</v>
      </c>
      <c r="J9" s="440">
        <f t="shared" ref="J9:K9" si="5">J10+J11</f>
        <v>113.503</v>
      </c>
      <c r="K9" s="440">
        <f t="shared" si="5"/>
        <v>78.569999999999993</v>
      </c>
      <c r="L9" s="581">
        <f t="shared" si="4"/>
        <v>0.44460990199821837</v>
      </c>
    </row>
    <row r="10" spans="1:12" x14ac:dyDescent="0.4">
      <c r="A10" s="156">
        <f t="shared" ref="A10:A11" si="6">A9+1</f>
        <v>6</v>
      </c>
      <c r="B10" s="432" t="str">
        <f>'2025 IS_Quarterly'!B31</f>
        <v>수출</v>
      </c>
      <c r="C10" s="432" t="str">
        <f>'2025 IS_Quarterly'!C31</f>
        <v>Global</v>
      </c>
      <c r="D10" s="456">
        <f>HLOOKUP(D$2,'2025 IS_Quarterly'!$26:$41,$A10,0)</f>
        <v>21.539000000000001</v>
      </c>
      <c r="E10" s="456">
        <f>HLOOKUP(E$2,'2025 IS_Quarterly'!$26:$41,$A10,0)</f>
        <v>13.577</v>
      </c>
      <c r="F10" s="580">
        <f t="shared" si="2"/>
        <v>0.58643293805700836</v>
      </c>
      <c r="G10" s="456">
        <f>HLOOKUP(G$2,'2025 IS_Quarterly'!$26:$41,$A10,0)</f>
        <v>20.126999999999999</v>
      </c>
      <c r="H10" s="580">
        <f t="shared" si="3"/>
        <v>7.0154518805584765E-2</v>
      </c>
      <c r="J10" s="456">
        <f>HLOOKUP(J$2,'2025 IS_YTD'!$26:$41,$A10,0)</f>
        <v>67.733000000000004</v>
      </c>
      <c r="K10" s="456">
        <f>HLOOKUP(K$2,'2025 IS_YTD'!$26:$41,$A10,0)</f>
        <v>46.412999999999997</v>
      </c>
      <c r="L10" s="580">
        <f t="shared" si="4"/>
        <v>0.45935406028483428</v>
      </c>
    </row>
    <row r="11" spans="1:12" x14ac:dyDescent="0.4">
      <c r="A11" s="156">
        <f t="shared" si="6"/>
        <v>7</v>
      </c>
      <c r="B11" s="432" t="str">
        <f>'2025 IS_Quarterly'!B32</f>
        <v>내수</v>
      </c>
      <c r="C11" s="432" t="str">
        <f>'2025 IS_Quarterly'!C32</f>
        <v>Korea</v>
      </c>
      <c r="D11" s="456">
        <f>HLOOKUP(D$2,'2025 IS_Quarterly'!$26:$41,$A11,0)</f>
        <v>15.77</v>
      </c>
      <c r="E11" s="456">
        <f>HLOOKUP(E$2,'2025 IS_Quarterly'!$26:$41,$A11,0)</f>
        <v>12.432</v>
      </c>
      <c r="F11" s="580">
        <f t="shared" si="2"/>
        <v>0.2685006435006434</v>
      </c>
      <c r="G11" s="456">
        <f>HLOOKUP(G$2,'2025 IS_Quarterly'!$26:$41,$A11,0)</f>
        <v>15.081</v>
      </c>
      <c r="H11" s="580">
        <f t="shared" si="3"/>
        <v>4.5686625555334537E-2</v>
      </c>
      <c r="J11" s="456">
        <f>HLOOKUP(J$2,'2025 IS_YTD'!$26:$41,$A11,0)</f>
        <v>45.769999999999996</v>
      </c>
      <c r="K11" s="456">
        <f>HLOOKUP(K$2,'2025 IS_YTD'!$26:$41,$A11,0)</f>
        <v>32.157000000000004</v>
      </c>
      <c r="L11" s="580">
        <f t="shared" si="4"/>
        <v>0.42332929066766156</v>
      </c>
    </row>
    <row r="12" spans="1:12" s="4" customFormat="1" x14ac:dyDescent="0.4">
      <c r="A12" s="157">
        <f>INDEX('2025 IS_Quarterly'!$A$26:$A$41,MATCH(C12,'2025 IS_Quarterly'!$C$26:$C$41,0))</f>
        <v>8</v>
      </c>
      <c r="B12" s="427" t="str">
        <f>'2025 IS_Quarterly'!B33</f>
        <v>홈케어</v>
      </c>
      <c r="C12" s="427" t="str">
        <f>'2025 IS_Quarterly'!C33</f>
        <v>Homecare</v>
      </c>
      <c r="D12" s="440">
        <f>D13+D14</f>
        <v>2.5009999999999999</v>
      </c>
      <c r="E12" s="440">
        <f>E13+E14</f>
        <v>0.43300000000000005</v>
      </c>
      <c r="F12" s="581">
        <f t="shared" si="2"/>
        <v>4.7759815242494215</v>
      </c>
      <c r="G12" s="440">
        <f>G13+G14</f>
        <v>2.3759999999999999</v>
      </c>
      <c r="H12" s="581">
        <f t="shared" si="3"/>
        <v>5.260942760942755E-2</v>
      </c>
      <c r="J12" s="440">
        <f t="shared" ref="J12:K12" si="7">J13+J14</f>
        <v>5.7009999999999996</v>
      </c>
      <c r="K12" s="440">
        <f t="shared" si="7"/>
        <v>3.3419999999999996</v>
      </c>
      <c r="L12" s="581">
        <f t="shared" si="4"/>
        <v>0.70586475164572127</v>
      </c>
    </row>
    <row r="13" spans="1:12" x14ac:dyDescent="0.4">
      <c r="A13" s="156">
        <f t="shared" ref="A13:A14" si="8">A12+1</f>
        <v>9</v>
      </c>
      <c r="B13" s="432" t="str">
        <f>'2025 IS_Quarterly'!B34</f>
        <v>수출</v>
      </c>
      <c r="C13" s="432" t="str">
        <f>'2025 IS_Quarterly'!C34</f>
        <v>Global</v>
      </c>
      <c r="D13" s="456">
        <f>HLOOKUP(D$2,'2025 IS_Quarterly'!$26:$41,$A13,0)</f>
        <v>0.11700000000000001</v>
      </c>
      <c r="E13" s="456">
        <f>HLOOKUP(E$2,'2025 IS_Quarterly'!$26:$41,$A13,0)</f>
        <v>0.156</v>
      </c>
      <c r="F13" s="580">
        <f t="shared" si="2"/>
        <v>-0.25</v>
      </c>
      <c r="G13" s="456">
        <f>HLOOKUP(G$2,'2025 IS_Quarterly'!$26:$41,$A13,0)</f>
        <v>0.40899999999999997</v>
      </c>
      <c r="H13" s="580">
        <f t="shared" si="3"/>
        <v>-0.71393643031784837</v>
      </c>
      <c r="J13" s="456">
        <f>HLOOKUP(J$2,'2025 IS_YTD'!$26:$41,$A13,0)</f>
        <v>1.0880000000000001</v>
      </c>
      <c r="K13" s="456">
        <f>HLOOKUP(K$2,'2025 IS_YTD'!$26:$41,$A13,0)</f>
        <v>1.45</v>
      </c>
      <c r="L13" s="580">
        <f t="shared" si="4"/>
        <v>-0.24965517241379298</v>
      </c>
    </row>
    <row r="14" spans="1:12" x14ac:dyDescent="0.4">
      <c r="A14" s="156">
        <f t="shared" si="8"/>
        <v>10</v>
      </c>
      <c r="B14" s="432" t="str">
        <f>'2025 IS_Quarterly'!B35</f>
        <v>내수</v>
      </c>
      <c r="C14" s="432" t="str">
        <f>'2025 IS_Quarterly'!C35</f>
        <v>Korea</v>
      </c>
      <c r="D14" s="456">
        <f>HLOOKUP(D$2,'2025 IS_Quarterly'!$26:$41,$A14,0)</f>
        <v>2.3839999999999999</v>
      </c>
      <c r="E14" s="456">
        <f>HLOOKUP(E$2,'2025 IS_Quarterly'!$26:$41,$A14,0)</f>
        <v>0.27700000000000002</v>
      </c>
      <c r="F14" s="580">
        <f t="shared" si="2"/>
        <v>7.6064981949458481</v>
      </c>
      <c r="G14" s="456">
        <f>HLOOKUP(G$2,'2025 IS_Quarterly'!$26:$41,$A14,0)</f>
        <v>1.9670000000000001</v>
      </c>
      <c r="H14" s="580">
        <f t="shared" si="3"/>
        <v>0.21199796644636493</v>
      </c>
      <c r="J14" s="456">
        <f>HLOOKUP(J$2,'2025 IS_YTD'!$26:$41,$A14,0)</f>
        <v>4.6129999999999995</v>
      </c>
      <c r="K14" s="456">
        <f>HLOOKUP(K$2,'2025 IS_YTD'!$26:$41,$A14,0)</f>
        <v>1.8919999999999999</v>
      </c>
      <c r="L14" s="580">
        <f t="shared" si="4"/>
        <v>1.4381606765327692</v>
      </c>
    </row>
    <row r="15" spans="1:12" s="4" customFormat="1" x14ac:dyDescent="0.4">
      <c r="A15" s="157">
        <f>INDEX('2025 IS_Quarterly'!$A$26:$A$41,MATCH(C15,'2025 IS_Quarterly'!$C$26:$C$41,0))</f>
        <v>11</v>
      </c>
      <c r="B15" s="427" t="str">
        <f>'2025 IS_Quarterly'!B36</f>
        <v>임대료</v>
      </c>
      <c r="C15" s="427" t="str">
        <f>'2025 IS_Quarterly'!C36</f>
        <v>Rentals</v>
      </c>
      <c r="D15" s="440">
        <f>HLOOKUP(D$2,'2025 IS_Quarterly'!$26:$41,$A15,0)</f>
        <v>0.24399999999999999</v>
      </c>
      <c r="E15" s="440">
        <f>HLOOKUP(E$2,'2025 IS_Quarterly'!$26:$41,$A15,0)</f>
        <v>0.23599999999999999</v>
      </c>
      <c r="F15" s="581">
        <f t="shared" ref="F15" si="9">D15/E15-1</f>
        <v>3.3898305084745894E-2</v>
      </c>
      <c r="G15" s="440">
        <f>HLOOKUP(G$2,'2025 IS_Quarterly'!$26:$41,$A15,0)</f>
        <v>0.21</v>
      </c>
      <c r="H15" s="581">
        <f t="shared" ref="H15" si="10">D15/G15-1</f>
        <v>0.161904761904762</v>
      </c>
      <c r="J15" s="440">
        <f>HLOOKUP(J$2,'2025 IS_YTD'!$26:$41,$A15,0)</f>
        <v>0.69</v>
      </c>
      <c r="K15" s="440">
        <f>HLOOKUP(K$2,'2025 IS_YTD'!$26:$41,$A15,0)</f>
        <v>0.79200000000000004</v>
      </c>
      <c r="L15" s="581">
        <f t="shared" ref="L15" si="11">J15/K15-1</f>
        <v>-0.1287878787878789</v>
      </c>
    </row>
  </sheetData>
  <phoneticPr fontId="3" type="noConversion"/>
  <pageMargins left="0.7" right="0.7" top="0.75" bottom="0.75" header="0.3" footer="0.3"/>
  <ignoredErrors>
    <ignoredError sqref="A9 A12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75203-A245-4856-8B4D-FF1EF784A32F}">
  <dimension ref="A1:AB21"/>
  <sheetViews>
    <sheetView zoomScaleNormal="100" workbookViewId="0">
      <selection activeCell="D17" sqref="D17"/>
    </sheetView>
  </sheetViews>
  <sheetFormatPr defaultRowHeight="17.399999999999999" x14ac:dyDescent="0.4"/>
  <cols>
    <col min="2" max="2" width="14.19921875" customWidth="1"/>
    <col min="3" max="3" width="22.796875" customWidth="1"/>
    <col min="4" max="5" width="8.796875" style="424"/>
    <col min="6" max="6" width="8.796875" style="591"/>
    <col min="7" max="7" width="8.796875" style="424" customWidth="1"/>
    <col min="8" max="8" width="8.796875" style="591"/>
    <col min="9" max="11" width="8.796875" style="424"/>
    <col min="12" max="12" width="8.796875" style="591"/>
    <col min="27" max="27" width="8.796875" customWidth="1"/>
    <col min="28" max="28" width="8.796875" hidden="1" customWidth="1"/>
  </cols>
  <sheetData>
    <row r="1" spans="1:12" x14ac:dyDescent="0.4">
      <c r="B1" s="143" t="s">
        <v>212</v>
      </c>
    </row>
    <row r="2" spans="1:12" s="605" customFormat="1" ht="18" thickBot="1" x14ac:dyDescent="0.45">
      <c r="A2" s="847"/>
      <c r="B2" s="601"/>
      <c r="C2" s="14"/>
      <c r="D2" s="164" t="s">
        <v>447</v>
      </c>
      <c r="E2" s="164" t="s">
        <v>236</v>
      </c>
      <c r="F2" s="589" t="s">
        <v>78</v>
      </c>
      <c r="G2" s="164" t="s">
        <v>416</v>
      </c>
      <c r="H2" s="589" t="s">
        <v>9</v>
      </c>
      <c r="I2" s="603"/>
      <c r="J2" s="164" t="s">
        <v>448</v>
      </c>
      <c r="K2" s="164" t="s">
        <v>310</v>
      </c>
      <c r="L2" s="589" t="s">
        <v>78</v>
      </c>
    </row>
    <row r="3" spans="1:12" s="4" customFormat="1" ht="13.2" x14ac:dyDescent="0.4">
      <c r="A3" s="157">
        <f>INDEX('SG&amp;A_Quarterly'!$A$2:$A$36,MATCH('SG&amp;A'!$C3,'SG&amp;A_Quarterly'!$C$2:$C$36,0))</f>
        <v>35</v>
      </c>
      <c r="B3" s="17" t="s">
        <v>264</v>
      </c>
      <c r="C3" s="17" t="s">
        <v>89</v>
      </c>
      <c r="D3" s="571">
        <f>HLOOKUP(D$2,'SG&amp;A_Quarterly'!$2:$36,'SG&amp;A'!$A3,0)/1000</f>
        <v>26.106023</v>
      </c>
      <c r="E3" s="571">
        <f>HLOOKUP(E$2,'SG&amp;A_Quarterly'!$2:$36,'SG&amp;A'!$A3,0)/1000</f>
        <v>17.648229999999998</v>
      </c>
      <c r="F3" s="592">
        <f>D3/E3-1</f>
        <v>0.47924313089754622</v>
      </c>
      <c r="G3" s="571">
        <f>HLOOKUP(G$2,'SG&amp;A_Quarterly'!$2:$36,'SG&amp;A'!$A3,0)/1000</f>
        <v>21.007000000000001</v>
      </c>
      <c r="H3" s="592">
        <f>D3/G3-1</f>
        <v>0.24272970914457082</v>
      </c>
      <c r="I3" s="448"/>
      <c r="J3" s="571">
        <f>HLOOKUP(J$2,'SG&amp;A_YTD'!$2:$36,'SG&amp;A'!$A3,0)/1000</f>
        <v>69.658023000000014</v>
      </c>
      <c r="K3" s="571">
        <f>HLOOKUP(K$2,'SG&amp;A_YTD'!$2:$36,'SG&amp;A'!$A3,0)/1000</f>
        <v>47.668046999999994</v>
      </c>
      <c r="L3" s="592">
        <f>J3/K3-1</f>
        <v>0.4613148090585717</v>
      </c>
    </row>
    <row r="4" spans="1:12" s="423" customFormat="1" ht="10.8" x14ac:dyDescent="0.4">
      <c r="A4" s="457"/>
      <c r="B4" s="18" t="s">
        <v>108</v>
      </c>
      <c r="C4" s="18" t="s">
        <v>91</v>
      </c>
      <c r="D4" s="449">
        <f>IFERROR(D3/D$21,)</f>
        <v>0.31454176656987604</v>
      </c>
      <c r="E4" s="449">
        <f>IFERROR(E3/E$21,)</f>
        <v>0.29703824014542024</v>
      </c>
      <c r="F4" s="593"/>
      <c r="G4" s="449">
        <f>IFERROR(G3/G$21,)</f>
        <v>0.25223332212669902</v>
      </c>
      <c r="H4" s="593"/>
      <c r="I4" s="450"/>
      <c r="J4" s="449">
        <f>IFERROR(J3/J$21,)</f>
        <v>0.28619449534499625</v>
      </c>
      <c r="K4" s="449">
        <f>IFERROR(K3/K$21,)</f>
        <v>0.26467544142143251</v>
      </c>
      <c r="L4" s="593"/>
    </row>
    <row r="5" spans="1:12" s="4" customFormat="1" ht="13.2" x14ac:dyDescent="0.4">
      <c r="A5" s="157">
        <f>INDEX('SG&amp;A_Quarterly'!$A$2:$A$36,MATCH('SG&amp;A'!$C5,'SG&amp;A_Quarterly'!$C$2:$C$36,0))</f>
        <v>2</v>
      </c>
      <c r="B5" s="19" t="s">
        <v>107</v>
      </c>
      <c r="C5" s="19" t="str">
        <f>VLOOKUP(B5,'SG&amp;A_Quarterly'!$B$2:$C$36,2,0)</f>
        <v>Salaries</v>
      </c>
      <c r="D5" s="572">
        <f>HLOOKUP(D$2,'SG&amp;A_Quarterly'!$2:$36,'SG&amp;A'!$A5,0)/1000</f>
        <v>4.1178119999999998</v>
      </c>
      <c r="E5" s="572">
        <f>HLOOKUP(E$2,'SG&amp;A_Quarterly'!$2:$36,'SG&amp;A'!$A5,0)/1000</f>
        <v>3.1878899999999999</v>
      </c>
      <c r="F5" s="594">
        <f t="shared" ref="F5:F7" si="0">D5/E5-1</f>
        <v>0.29170454438515758</v>
      </c>
      <c r="G5" s="573">
        <f>HLOOKUP(G$2,'SG&amp;A_Quarterly'!$2:$36,'SG&amp;A'!$A5,0)/1000</f>
        <v>3.7766999999999999</v>
      </c>
      <c r="H5" s="594">
        <f>D5/G5-1</f>
        <v>9.0320120740328802E-2</v>
      </c>
      <c r="I5" s="448"/>
      <c r="J5" s="573">
        <f>HLOOKUP(J$2,'SG&amp;A_YTD'!$2:$36,'SG&amp;A'!$A5,0)/1000</f>
        <v>11.776511999999999</v>
      </c>
      <c r="K5" s="573">
        <f>HLOOKUP(K$2,'SG&amp;A_YTD'!$2:$36,'SG&amp;A'!$A5,0)/1000</f>
        <v>8.8020589999999999</v>
      </c>
      <c r="L5" s="594">
        <f>J5/K5-1</f>
        <v>0.33792695549984364</v>
      </c>
    </row>
    <row r="6" spans="1:12" s="423" customFormat="1" ht="10.8" x14ac:dyDescent="0.4">
      <c r="A6" s="457"/>
      <c r="B6" s="20" t="s">
        <v>108</v>
      </c>
      <c r="C6" s="20" t="s">
        <v>90</v>
      </c>
      <c r="D6" s="451">
        <f>IFERROR(D5/D$21,)</f>
        <v>4.961398604768847E-2</v>
      </c>
      <c r="E6" s="451">
        <f>IFERROR(E5/E$21,)</f>
        <v>5.365553573231898E-2</v>
      </c>
      <c r="F6" s="595"/>
      <c r="G6" s="451">
        <f>IFERROR(G5/G$21,)</f>
        <v>4.5347245569377068E-2</v>
      </c>
      <c r="H6" s="595"/>
      <c r="I6" s="450"/>
      <c r="J6" s="451">
        <f>IFERROR(J5/J$21,)</f>
        <v>4.8384561657230658E-2</v>
      </c>
      <c r="K6" s="451">
        <f>IFERROR(K5/K$21,)</f>
        <v>4.8873176013325928E-2</v>
      </c>
      <c r="L6" s="595"/>
    </row>
    <row r="7" spans="1:12" s="4" customFormat="1" ht="13.2" x14ac:dyDescent="0.4">
      <c r="A7" s="157">
        <f>INDEX('SG&amp;A_Quarterly'!$A$2:$A$36,MATCH('SG&amp;A'!$C7,'SG&amp;A_Quarterly'!$C$2:$C$36,0))</f>
        <v>3</v>
      </c>
      <c r="B7" s="19" t="s">
        <v>109</v>
      </c>
      <c r="C7" s="19" t="str">
        <f>VLOOKUP(B7,'SG&amp;A_Quarterly'!$B$2:$C$36,2,0)</f>
        <v>R&amp;D Expenses</v>
      </c>
      <c r="D7" s="573">
        <f>HLOOKUP(D$2,'SG&amp;A_Quarterly'!$2:$36,'SG&amp;A'!$A7,0)/1000</f>
        <v>4.3564249999999998</v>
      </c>
      <c r="E7" s="573">
        <f>HLOOKUP(E$2,'SG&amp;A_Quarterly'!$2:$36,'SG&amp;A'!$A7,0)/1000</f>
        <v>3.0759509999999999</v>
      </c>
      <c r="F7" s="594">
        <f t="shared" si="0"/>
        <v>0.41628556501712799</v>
      </c>
      <c r="G7" s="573">
        <f>HLOOKUP(G$2,'SG&amp;A_Quarterly'!$2:$36,'SG&amp;A'!$A7,0)/1000</f>
        <v>4.2409999999999997</v>
      </c>
      <c r="H7" s="594">
        <f t="shared" ref="H7:H19" si="1">D7/G7-1</f>
        <v>2.7216458382457009E-2</v>
      </c>
      <c r="I7" s="448"/>
      <c r="J7" s="573">
        <f>HLOOKUP(J$2,'SG&amp;A_YTD'!$2:$36,'SG&amp;A'!$A7,0)/1000</f>
        <v>12.753425</v>
      </c>
      <c r="K7" s="573">
        <f>HLOOKUP(K$2,'SG&amp;A_YTD'!$2:$36,'SG&amp;A'!$A7,0)/1000</f>
        <v>8.6998080000000009</v>
      </c>
      <c r="L7" s="594">
        <f>J7/K7-1</f>
        <v>0.46594327139173641</v>
      </c>
    </row>
    <row r="8" spans="1:12" s="423" customFormat="1" ht="10.8" x14ac:dyDescent="0.4">
      <c r="A8" s="457"/>
      <c r="B8" s="20" t="s">
        <v>108</v>
      </c>
      <c r="C8" s="20" t="s">
        <v>91</v>
      </c>
      <c r="D8" s="451">
        <f>IFERROR(D7/D$21,)</f>
        <v>5.2488945383568075E-2</v>
      </c>
      <c r="E8" s="451">
        <f>IFERROR(E7/E$21,)</f>
        <v>5.1771484835224015E-2</v>
      </c>
      <c r="F8" s="595"/>
      <c r="G8" s="451">
        <f>IFERROR(G7/G$21,)</f>
        <v>5.0922145910378934E-2</v>
      </c>
      <c r="H8" s="595"/>
      <c r="I8" s="450"/>
      <c r="J8" s="451">
        <f>IFERROR(J7/J$21,)</f>
        <v>5.239827193768129E-2</v>
      </c>
      <c r="K8" s="451">
        <f>IFERROR(K7/K$21,)</f>
        <v>4.8305430316490844E-2</v>
      </c>
      <c r="L8" s="595"/>
    </row>
    <row r="9" spans="1:12" s="4" customFormat="1" ht="13.2" x14ac:dyDescent="0.4">
      <c r="A9" s="157">
        <f>INDEX('SG&amp;A_Quarterly'!$A$2:$A$36,MATCH('SG&amp;A'!$C9,'SG&amp;A_Quarterly'!$C$2:$C$36,0))</f>
        <v>4</v>
      </c>
      <c r="B9" s="19" t="s">
        <v>110</v>
      </c>
      <c r="C9" s="19" t="str">
        <f>VLOOKUP(B9,'SG&amp;A_Quarterly'!$B$2:$C$36,2,0)</f>
        <v>Advertising</v>
      </c>
      <c r="D9" s="573">
        <f>HLOOKUP(D$2,'SG&amp;A_Quarterly'!$2:$36,'SG&amp;A'!$A9,0)/1000</f>
        <v>5.987514</v>
      </c>
      <c r="E9" s="573">
        <f>HLOOKUP(E$2,'SG&amp;A_Quarterly'!$2:$36,'SG&amp;A'!$A9,0)/1000</f>
        <v>4.7376229999999993</v>
      </c>
      <c r="F9" s="594">
        <f>D9/E9-1</f>
        <v>0.26382238519189927</v>
      </c>
      <c r="G9" s="573">
        <f>HLOOKUP(G$2,'SG&amp;A_Quarterly'!$2:$36,'SG&amp;A'!$A9,0)/1000</f>
        <v>2.5000999999999998</v>
      </c>
      <c r="H9" s="594">
        <f t="shared" si="1"/>
        <v>1.394909803607856</v>
      </c>
      <c r="I9" s="448"/>
      <c r="J9" s="573">
        <f>HLOOKUP(J$2,'SG&amp;A_YTD'!$2:$36,'SG&amp;A'!$A9,0)/1000</f>
        <v>12.128614000000001</v>
      </c>
      <c r="K9" s="573">
        <f>HLOOKUP(K$2,'SG&amp;A_YTD'!$2:$36,'SG&amp;A'!$A9,0)/1000</f>
        <v>9.4812469999999998</v>
      </c>
      <c r="L9" s="594">
        <f>J9/K9-1</f>
        <v>0.27922139355719788</v>
      </c>
    </row>
    <row r="10" spans="1:12" s="423" customFormat="1" ht="10.8" x14ac:dyDescent="0.4">
      <c r="A10" s="457"/>
      <c r="B10" s="20" t="s">
        <v>108</v>
      </c>
      <c r="C10" s="20" t="s">
        <v>91</v>
      </c>
      <c r="D10" s="451">
        <f>IFERROR(D9/D$21,)</f>
        <v>7.2141330409532869E-2</v>
      </c>
      <c r="E10" s="451">
        <f>IFERROR(E9/E$21,)</f>
        <v>7.9739169219375891E-2</v>
      </c>
      <c r="F10" s="595"/>
      <c r="G10" s="451">
        <f>IFERROR(G9/G$21,)</f>
        <v>3.0018971230968729E-2</v>
      </c>
      <c r="H10" s="595"/>
      <c r="I10" s="450"/>
      <c r="J10" s="452">
        <f>IFERROR(J9/J$21,)</f>
        <v>4.9831195510160485E-2</v>
      </c>
      <c r="K10" s="452">
        <f>IFERROR(K9/K$21,)</f>
        <v>5.2644347584675177E-2</v>
      </c>
      <c r="L10" s="595"/>
    </row>
    <row r="11" spans="1:12" s="4" customFormat="1" ht="13.2" x14ac:dyDescent="0.4">
      <c r="A11" s="157">
        <f>INDEX('SG&amp;A_Quarterly'!$A$2:$A$36,MATCH('SG&amp;A'!$C11,'SG&amp;A_Quarterly'!$C$2:$C$36,0))</f>
        <v>5</v>
      </c>
      <c r="B11" s="2" t="s">
        <v>55</v>
      </c>
      <c r="C11" s="2" t="str">
        <f>VLOOKUP(B11,'SG&amp;A_Quarterly'!$B$2:$C$36,2,0)</f>
        <v>Commission</v>
      </c>
      <c r="D11" s="447">
        <f>HLOOKUP(D$2,'SG&amp;A_Quarterly'!$2:$36,'SG&amp;A'!$A11,0)/1000</f>
        <v>2.1755520000000002</v>
      </c>
      <c r="E11" s="447">
        <f>HLOOKUP(E$2,'SG&amp;A_Quarterly'!$2:$36,'SG&amp;A'!$A11,0)/1000</f>
        <v>2.1696719999999998</v>
      </c>
      <c r="F11" s="580">
        <f t="shared" ref="F11:F19" si="2">D11/E11-1</f>
        <v>2.71008705463327E-3</v>
      </c>
      <c r="G11" s="447">
        <f>HLOOKUP(G$2,'SG&amp;A_Quarterly'!$2:$36,'SG&amp;A'!$A11,0)/1000</f>
        <v>1.5940000000000001</v>
      </c>
      <c r="H11" s="580">
        <f t="shared" si="1"/>
        <v>0.36483814303638651</v>
      </c>
      <c r="I11" s="448"/>
      <c r="J11" s="447">
        <f>HLOOKUP(J$2,'SG&amp;A_YTD'!$2:$36,'SG&amp;A'!$A11,0)/1000</f>
        <v>6.144552</v>
      </c>
      <c r="K11" s="447">
        <f>HLOOKUP(K$2,'SG&amp;A_YTD'!$2:$36,'SG&amp;A'!$A11,0)/1000</f>
        <v>7.028925000000001</v>
      </c>
      <c r="L11" s="580">
        <f>J11/K11-1</f>
        <v>-0.12581909751491172</v>
      </c>
    </row>
    <row r="12" spans="1:12" s="423" customFormat="1" ht="10.8" x14ac:dyDescent="0.4">
      <c r="A12" s="457"/>
      <c r="B12" s="1" t="s">
        <v>108</v>
      </c>
      <c r="C12" s="1" t="s">
        <v>91</v>
      </c>
      <c r="D12" s="450">
        <f>IFERROR(D11/D$21,)</f>
        <v>2.6212417316288542E-2</v>
      </c>
      <c r="E12" s="450">
        <f>IFERROR(E11/E$21,)</f>
        <v>3.6517857743966063E-2</v>
      </c>
      <c r="F12" s="596"/>
      <c r="G12" s="450">
        <f>IFERROR(G11/G$21,)</f>
        <v>1.9139330483646317E-2</v>
      </c>
      <c r="H12" s="596"/>
      <c r="I12" s="450"/>
      <c r="J12" s="450">
        <f>IFERROR(J11/J$21,)</f>
        <v>2.5245289530555395E-2</v>
      </c>
      <c r="K12" s="450">
        <f>IFERROR(K11/K$21,)</f>
        <v>3.9027901166018883E-2</v>
      </c>
      <c r="L12" s="596"/>
    </row>
    <row r="13" spans="1:12" s="4" customFormat="1" ht="13.2" x14ac:dyDescent="0.4">
      <c r="A13" s="157">
        <f>INDEX('SG&amp;A_Quarterly'!$A$2:$A$36,MATCH("Depreciation",'SG&amp;A_Quarterly'!$C$2:$C$36,0))</f>
        <v>7</v>
      </c>
      <c r="B13" s="570" t="s">
        <v>231</v>
      </c>
      <c r="C13" s="2" t="s">
        <v>242</v>
      </c>
      <c r="D13" s="447">
        <f>(HLOOKUP(D$2,'SG&amp;A_Quarterly'!$2:$36,'SG&amp;A'!$A14,0)+HLOOKUP(D$2,'SG&amp;A_Quarterly'!$2:$36,'SG&amp;A'!$A13,0))/1000</f>
        <v>2.7840990000000003</v>
      </c>
      <c r="E13" s="447">
        <f>(HLOOKUP(E$2,'SG&amp;A_Quarterly'!$2:$36,'SG&amp;A'!$A14,0)+HLOOKUP(E$2,'SG&amp;A_Quarterly'!$2:$36,'SG&amp;A'!$A13,0))/1000</f>
        <v>0.68796299999999999</v>
      </c>
      <c r="F13" s="580">
        <f>D13/E13-1</f>
        <v>3.0468731603298442</v>
      </c>
      <c r="G13" s="447">
        <f>(HLOOKUP(G$2,'SG&amp;A_Quarterly'!$2:$36,'SG&amp;A'!$A14,0)+HLOOKUP(G$2,'SG&amp;A_Quarterly'!$2:$36,'SG&amp;A'!$A13,0))/1000</f>
        <v>2.6963000000000004</v>
      </c>
      <c r="H13" s="580">
        <f>D13/G13-1</f>
        <v>3.256277120498452E-2</v>
      </c>
      <c r="I13" s="448"/>
      <c r="J13" s="447">
        <f>(HLOOKUP(J$2,'SG&amp;A_YTD'!$2:$36,'SG&amp;A'!$A14,0)+HLOOKUP(J$2,'SG&amp;A_YTD'!$2:$36,'SG&amp;A'!$A13,0))/1000</f>
        <v>8.1173989999999989</v>
      </c>
      <c r="K13" s="447">
        <f>(HLOOKUP(K$2,'SG&amp;A_YTD'!$2:$36,'SG&amp;A'!$A14,0)+HLOOKUP(K$2,'SG&amp;A_YTD'!$2:$36,'SG&amp;A'!$A13,0))/1000</f>
        <v>2.0020200000000004</v>
      </c>
      <c r="L13" s="580">
        <f>J13/K13-1</f>
        <v>3.0546043496068958</v>
      </c>
    </row>
    <row r="14" spans="1:12" s="423" customFormat="1" ht="13.2" x14ac:dyDescent="0.4">
      <c r="A14" s="157">
        <f>INDEX('SG&amp;A_Quarterly'!$A$2:$A$36,MATCH("Amortization of Intangible Assets",'SG&amp;A_Quarterly'!$C$2:$C$36,0))</f>
        <v>8</v>
      </c>
      <c r="B14" s="1" t="s">
        <v>108</v>
      </c>
      <c r="C14" s="1" t="s">
        <v>91</v>
      </c>
      <c r="D14" s="450">
        <f>IFERROR(D13/D$21,)</f>
        <v>3.3544573900261457E-2</v>
      </c>
      <c r="E14" s="450">
        <f>IFERROR(E13/E$21,)</f>
        <v>1.1579139596728044E-2</v>
      </c>
      <c r="F14" s="596"/>
      <c r="G14" s="450">
        <f>IFERROR(G13/G$21,)</f>
        <v>3.2374765861389945E-2</v>
      </c>
      <c r="H14" s="596"/>
      <c r="I14" s="450"/>
      <c r="J14" s="450">
        <f>IFERROR(J13/J$21,)</f>
        <v>3.3350859100881695E-2</v>
      </c>
      <c r="K14" s="450">
        <f>IFERROR(K13/K$21,)</f>
        <v>1.1116157690172129E-2</v>
      </c>
      <c r="L14" s="596"/>
    </row>
    <row r="15" spans="1:12" s="6" customFormat="1" ht="13.2" x14ac:dyDescent="0.4">
      <c r="A15" s="157">
        <f>INDEX('SG&amp;A_Quarterly'!$A$2:$A$36,MATCH('SG&amp;A'!$C15,'SG&amp;A_Quarterly'!$C$2:$C$36,0))</f>
        <v>6</v>
      </c>
      <c r="B15" s="432" t="s">
        <v>57</v>
      </c>
      <c r="C15" s="2" t="str">
        <f>VLOOKUP(B15,'SG&amp;A_Quarterly'!$B$2:$C$36,2,0)</f>
        <v xml:space="preserve">Sales Commissions </v>
      </c>
      <c r="D15" s="447">
        <f>HLOOKUP(D$2,'SG&amp;A_Quarterly'!$2:$36,'SG&amp;A'!$A15,0)/1000</f>
        <v>1.1304670000000001</v>
      </c>
      <c r="E15" s="447">
        <f>HLOOKUP(E$2,'SG&amp;A_Quarterly'!$2:$36,'SG&amp;A'!$A15,0)/1000</f>
        <v>0.84140700000000002</v>
      </c>
      <c r="F15" s="580">
        <f t="shared" si="2"/>
        <v>0.34354361206883244</v>
      </c>
      <c r="G15" s="447">
        <f>HLOOKUP(G$2,'SG&amp;A_Quarterly'!$2:$36,'SG&amp;A'!$A15,0)/1000</f>
        <v>1.7857000000000001</v>
      </c>
      <c r="H15" s="580">
        <f t="shared" si="1"/>
        <v>-0.36693341546732372</v>
      </c>
      <c r="I15" s="448"/>
      <c r="J15" s="447">
        <f>HLOOKUP(J$2,'SG&amp;A_YTD'!$2:$36,'SG&amp;A'!$A15,0)/1000</f>
        <v>4.4471669999999994</v>
      </c>
      <c r="K15" s="447">
        <f>HLOOKUP(K$2,'SG&amp;A_YTD'!$2:$36,'SG&amp;A'!$A15,0)/1000</f>
        <v>2.8088479999999998</v>
      </c>
      <c r="L15" s="580">
        <f>J15/K15-1</f>
        <v>0.58327079286597194</v>
      </c>
    </row>
    <row r="16" spans="1:12" s="423" customFormat="1" ht="10.8" x14ac:dyDescent="0.4">
      <c r="A16" s="457"/>
      <c r="B16" s="1" t="s">
        <v>108</v>
      </c>
      <c r="C16" s="1" t="s">
        <v>91</v>
      </c>
      <c r="D16" s="450">
        <f>IFERROR(D15/D$21,)</f>
        <v>1.3620576647348701E-2</v>
      </c>
      <c r="E16" s="450">
        <f>IFERROR(E15/E$21,)</f>
        <v>1.4161763220789712E-2</v>
      </c>
      <c r="F16" s="596"/>
      <c r="G16" s="450">
        <f>IFERROR(G15/G$21,)</f>
        <v>2.1441093127131262E-2</v>
      </c>
      <c r="H16" s="596"/>
      <c r="I16" s="450"/>
      <c r="J16" s="450">
        <f>IFERROR(J15/J$21,)</f>
        <v>1.8271473413477735E-2</v>
      </c>
      <c r="K16" s="450">
        <f>IFERROR(K15/K$21,)</f>
        <v>1.5596046640755135E-2</v>
      </c>
      <c r="L16" s="596"/>
    </row>
    <row r="17" spans="1:12" s="6" customFormat="1" ht="13.2" x14ac:dyDescent="0.4">
      <c r="A17" s="157">
        <f>INDEX('SG&amp;A_Quarterly'!$A$2:$A$36,MATCH('SG&amp;A'!$C17,'SG&amp;A_Quarterly'!$C$2:$C$36,0))</f>
        <v>9</v>
      </c>
      <c r="B17" s="432" t="s">
        <v>48</v>
      </c>
      <c r="C17" s="2" t="str">
        <f>VLOOKUP(B17,'SG&amp;A_Quarterly'!$B$2:$C$36,2,0)</f>
        <v>Retirement benefits</v>
      </c>
      <c r="D17" s="447">
        <f>HLOOKUP(D$2,'SG&amp;A_Quarterly'!$2:$36,'SG&amp;A'!$A17,0)/1000</f>
        <v>0.25101499999999999</v>
      </c>
      <c r="E17" s="447">
        <f>HLOOKUP(E$2,'SG&amp;A_Quarterly'!$2:$36,'SG&amp;A'!$A17,0)/1000</f>
        <v>0.231603</v>
      </c>
      <c r="F17" s="580">
        <f t="shared" si="2"/>
        <v>8.3815840036614242E-2</v>
      </c>
      <c r="G17" s="447">
        <f>HLOOKUP(G$2,'SG&amp;A_Quarterly'!$2:$36,'SG&amp;A'!$A17,0)/1000</f>
        <v>0.252</v>
      </c>
      <c r="H17" s="580">
        <f t="shared" si="1"/>
        <v>-3.908730158730167E-3</v>
      </c>
      <c r="I17" s="448"/>
      <c r="J17" s="447">
        <f>HLOOKUP(J$2,'SG&amp;A_YTD'!$2:$36,'SG&amp;A'!$A17,0)/1000</f>
        <v>0.78201500000000002</v>
      </c>
      <c r="K17" s="447">
        <f>HLOOKUP(K$2,'SG&amp;A_YTD'!$2:$36,'SG&amp;A'!$A17,0)/1000</f>
        <v>0.68099799999999999</v>
      </c>
      <c r="L17" s="580">
        <f>J17/K17-1</f>
        <v>0.14833670583467207</v>
      </c>
    </row>
    <row r="18" spans="1:12" s="423" customFormat="1" ht="10.8" x14ac:dyDescent="0.4">
      <c r="A18" s="457"/>
      <c r="B18" s="1" t="s">
        <v>108</v>
      </c>
      <c r="C18" s="1" t="s">
        <v>91</v>
      </c>
      <c r="D18" s="450">
        <f>IFERROR(#REF!/D$21,)</f>
        <v>0</v>
      </c>
      <c r="E18" s="450">
        <f>IFERROR(#REF!/E$21,)</f>
        <v>0</v>
      </c>
      <c r="F18" s="596"/>
      <c r="G18" s="450">
        <f>IFERROR(#REF!/G$21,)</f>
        <v>0</v>
      </c>
      <c r="H18" s="596"/>
      <c r="I18" s="450"/>
      <c r="J18" s="450">
        <f>IFERROR(#REF!/J$21,)</f>
        <v>0</v>
      </c>
      <c r="K18" s="450">
        <f>IFERROR(#REF!/K$21,)</f>
        <v>0</v>
      </c>
      <c r="L18" s="596"/>
    </row>
    <row r="19" spans="1:12" s="6" customFormat="1" ht="13.2" x14ac:dyDescent="0.4">
      <c r="A19" s="157"/>
      <c r="B19" s="570" t="s">
        <v>106</v>
      </c>
      <c r="C19" s="2" t="s">
        <v>88</v>
      </c>
      <c r="D19" s="447">
        <f>D3-D5-D7-D9-D11-D13-D15-D17</f>
        <v>5.3031389999999972</v>
      </c>
      <c r="E19" s="447">
        <f>E3-E5-E7-E9-E11-E13-E15-E17</f>
        <v>2.7161209999999993</v>
      </c>
      <c r="F19" s="580">
        <f t="shared" si="2"/>
        <v>0.95246787606295835</v>
      </c>
      <c r="G19" s="447">
        <f>G3-G5-G7-G9-G11-G13-G15-G17</f>
        <v>4.1612</v>
      </c>
      <c r="H19" s="580">
        <f t="shared" si="1"/>
        <v>0.27442540613284572</v>
      </c>
      <c r="I19" s="448"/>
      <c r="J19" s="447">
        <f t="shared" ref="J19:K19" si="3">J3-J5-J7-J9-J11-J13-J15-J17</f>
        <v>13.508339000000019</v>
      </c>
      <c r="K19" s="447">
        <f t="shared" si="3"/>
        <v>8.1641419999999929</v>
      </c>
      <c r="L19" s="580">
        <f>J19/K19-1</f>
        <v>0.65459383239537372</v>
      </c>
    </row>
    <row r="20" spans="1:12" s="423" customFormat="1" ht="11.4" thickBot="1" x14ac:dyDescent="0.45">
      <c r="A20" s="457"/>
      <c r="B20" s="3" t="s">
        <v>108</v>
      </c>
      <c r="C20" s="3" t="s">
        <v>91</v>
      </c>
      <c r="D20" s="453">
        <f>IFERROR(D19/D$21,)</f>
        <v>6.3895550441582197E-2</v>
      </c>
      <c r="E20" s="453">
        <f>IFERROR(E19/E$21,)</f>
        <v>4.5715168142188699E-2</v>
      </c>
      <c r="F20" s="597"/>
      <c r="G20" s="453">
        <f>IFERROR(G19/G$21,)</f>
        <v>4.9963978675375817E-2</v>
      </c>
      <c r="H20" s="597"/>
      <c r="I20" s="450"/>
      <c r="J20" s="453">
        <f>IFERROR(J19/J$21,)</f>
        <v>5.5499884960188081E-2</v>
      </c>
      <c r="K20" s="453">
        <f>IFERROR(K19/K$21,)</f>
        <v>4.5331160466407512E-2</v>
      </c>
      <c r="L20" s="597"/>
    </row>
    <row r="21" spans="1:12" s="163" customFormat="1" x14ac:dyDescent="0.4">
      <c r="A21" s="163">
        <f>INDEX('2025 IS_Quarterly'!$A$3:$A$23,MATCH(C21,'2025 IS_Quarterly'!$C$3:$C$23,0))</f>
        <v>2</v>
      </c>
      <c r="B21" s="163" t="s">
        <v>248</v>
      </c>
      <c r="C21" s="163" t="s">
        <v>215</v>
      </c>
      <c r="D21" s="425">
        <f>HLOOKUP(D$2,'2025 IS_Quarterly'!$3:$23,$A21,0)</f>
        <v>82.997</v>
      </c>
      <c r="E21" s="425">
        <f>HLOOKUP(E$2,'2025 IS_Quarterly'!$3:$23,$A21,0)</f>
        <v>59.414000000000001</v>
      </c>
      <c r="F21" s="598"/>
      <c r="G21" s="425">
        <f>HLOOKUP(G$2,'2025 IS_Quarterly'!$3:$23,$A21,0)</f>
        <v>83.284000000000006</v>
      </c>
      <c r="H21" s="598"/>
      <c r="I21" s="426"/>
      <c r="J21" s="425">
        <f>HLOOKUP(J$2,'2025 IS_YTD'!$3:$23,$A21,0)</f>
        <v>243.39400000000001</v>
      </c>
      <c r="K21" s="425">
        <v>180.1</v>
      </c>
      <c r="L21" s="598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216DF-D275-4CC8-9433-9C038E8D138F}">
  <sheetPr>
    <tabColor theme="8" tint="0.79998168889431442"/>
    <pageSetUpPr fitToPage="1"/>
  </sheetPr>
  <dimension ref="A1:AL75"/>
  <sheetViews>
    <sheetView showGridLines="0" tabSelected="1" view="pageBreakPreview" zoomScaleNormal="100" zoomScaleSheetLayoutView="100" workbookViewId="0">
      <pane xSplit="3" ySplit="3" topLeftCell="K28" activePane="bottomRight" state="frozen"/>
      <selection activeCell="N45" sqref="N45"/>
      <selection pane="topRight" activeCell="N45" sqref="N45"/>
      <selection pane="bottomLeft" activeCell="N45" sqref="N45"/>
      <selection pane="bottomRight" activeCell="AM40" sqref="AM40"/>
    </sheetView>
  </sheetViews>
  <sheetFormatPr defaultColWidth="7.59765625" defaultRowHeight="16.2" customHeight="1" x14ac:dyDescent="0.4"/>
  <cols>
    <col min="1" max="1" width="3.19921875" style="156" customWidth="1"/>
    <col min="2" max="2" width="14.5" style="103" customWidth="1"/>
    <col min="3" max="3" width="21" style="103" customWidth="1"/>
    <col min="4" max="8" width="9.19921875" style="205" customWidth="1"/>
    <col min="9" max="10" width="7.19921875" style="206" customWidth="1"/>
    <col min="11" max="11" width="9.19921875" style="205" customWidth="1"/>
    <col min="12" max="13" width="7.19921875" style="206" customWidth="1"/>
    <col min="14" max="14" width="9.19921875" style="205" customWidth="1"/>
    <col min="15" max="16" width="7.19921875" style="206" customWidth="1"/>
    <col min="17" max="17" width="9.19921875" style="205" hidden="1" customWidth="1"/>
    <col min="18" max="19" width="7.19921875" style="206" hidden="1" customWidth="1"/>
    <col min="20" max="20" width="9.19921875" style="205" hidden="1" customWidth="1"/>
    <col min="21" max="22" width="7.19921875" style="206" hidden="1" customWidth="1"/>
    <col min="23" max="23" width="9.19921875" style="205" hidden="1" customWidth="1"/>
    <col min="24" max="25" width="7.19921875" style="206" hidden="1" customWidth="1"/>
    <col min="26" max="26" width="9.19921875" style="205" hidden="1" customWidth="1"/>
    <col min="27" max="28" width="7.19921875" style="206" hidden="1" customWidth="1"/>
    <col min="29" max="29" width="9.19921875" style="205" hidden="1" customWidth="1"/>
    <col min="30" max="31" width="7.19921875" style="206" hidden="1" customWidth="1"/>
    <col min="32" max="16384" width="7.59765625" style="11"/>
  </cols>
  <sheetData>
    <row r="1" spans="1:35" s="45" customFormat="1" ht="13.2" x14ac:dyDescent="0.4">
      <c r="A1" s="157"/>
      <c r="B1" s="40" t="s">
        <v>268</v>
      </c>
      <c r="C1" s="44"/>
      <c r="D1" s="207"/>
      <c r="E1" s="207"/>
      <c r="F1" s="207"/>
      <c r="G1" s="131" t="s">
        <v>403</v>
      </c>
      <c r="I1" s="207"/>
      <c r="J1" s="207"/>
      <c r="K1" s="207"/>
      <c r="L1" s="207"/>
      <c r="M1" s="207"/>
      <c r="N1" s="207"/>
      <c r="O1" s="544"/>
      <c r="P1" s="544"/>
      <c r="Q1" s="544"/>
      <c r="R1" s="544"/>
      <c r="S1" s="544"/>
      <c r="T1" s="544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</row>
    <row r="2" spans="1:35" ht="16.2" customHeight="1" x14ac:dyDescent="0.4">
      <c r="B2" s="40" t="s">
        <v>127</v>
      </c>
      <c r="C2" s="41"/>
      <c r="H2" s="131" t="s">
        <v>404</v>
      </c>
      <c r="O2" s="545"/>
      <c r="P2" s="545"/>
      <c r="Q2" s="492"/>
      <c r="R2" s="545"/>
      <c r="S2" s="545"/>
      <c r="T2" s="492"/>
    </row>
    <row r="3" spans="1:35" s="41" customFormat="1" ht="16.2" customHeight="1" x14ac:dyDescent="0.4">
      <c r="A3" s="156">
        <v>1</v>
      </c>
      <c r="B3" s="197" t="s">
        <v>212</v>
      </c>
      <c r="C3" s="198" t="s">
        <v>497</v>
      </c>
      <c r="D3" s="208" t="s">
        <v>271</v>
      </c>
      <c r="E3" s="209" t="s">
        <v>251</v>
      </c>
      <c r="F3" s="209" t="s">
        <v>252</v>
      </c>
      <c r="G3" s="209" t="s">
        <v>253</v>
      </c>
      <c r="H3" s="210" t="s">
        <v>272</v>
      </c>
      <c r="I3" s="211" t="s">
        <v>1</v>
      </c>
      <c r="J3" s="211" t="s">
        <v>0</v>
      </c>
      <c r="K3" s="209" t="s">
        <v>416</v>
      </c>
      <c r="L3" s="211" t="s">
        <v>1</v>
      </c>
      <c r="M3" s="211" t="s">
        <v>0</v>
      </c>
      <c r="N3" s="209" t="s">
        <v>447</v>
      </c>
      <c r="O3" s="211" t="s">
        <v>1</v>
      </c>
      <c r="P3" s="211" t="s">
        <v>0</v>
      </c>
      <c r="Q3" s="209"/>
      <c r="R3" s="211" t="s">
        <v>1</v>
      </c>
      <c r="S3" s="212" t="s">
        <v>0</v>
      </c>
      <c r="T3" s="210"/>
      <c r="U3" s="211" t="s">
        <v>1</v>
      </c>
      <c r="V3" s="211" t="s">
        <v>0</v>
      </c>
      <c r="W3" s="209"/>
      <c r="X3" s="211" t="s">
        <v>1</v>
      </c>
      <c r="Y3" s="211" t="s">
        <v>0</v>
      </c>
      <c r="Z3" s="209"/>
      <c r="AA3" s="211" t="s">
        <v>1</v>
      </c>
      <c r="AB3" s="211" t="s">
        <v>0</v>
      </c>
      <c r="AC3" s="209"/>
      <c r="AD3" s="211" t="s">
        <v>1</v>
      </c>
      <c r="AE3" s="212" t="s">
        <v>0</v>
      </c>
    </row>
    <row r="4" spans="1:35" s="50" customFormat="1" ht="16.2" customHeight="1" x14ac:dyDescent="0.4">
      <c r="A4" s="156">
        <f t="shared" ref="A4" si="0">A3+1</f>
        <v>2</v>
      </c>
      <c r="B4" s="47" t="s">
        <v>185</v>
      </c>
      <c r="C4" s="48" t="s">
        <v>215</v>
      </c>
      <c r="D4" s="213">
        <v>50.378999999999998</v>
      </c>
      <c r="E4" s="214">
        <v>58.741</v>
      </c>
      <c r="F4" s="214">
        <v>59.414000000000001</v>
      </c>
      <c r="G4" s="215">
        <v>74.403832253000004</v>
      </c>
      <c r="H4" s="216">
        <v>77.113</v>
      </c>
      <c r="I4" s="217">
        <f t="shared" ref="I4:I5" si="1">H4/G4-1</f>
        <v>3.6411669466000607E-2</v>
      </c>
      <c r="J4" s="218">
        <f t="shared" ref="J4:J5" si="2">H4/D4-1</f>
        <v>0.53065761527620636</v>
      </c>
      <c r="K4" s="219">
        <v>83.284000000000006</v>
      </c>
      <c r="L4" s="217">
        <f t="shared" ref="L4:L5" si="3">IFERROR((K4-H4)/H4,)</f>
        <v>8.0025417244822622E-2</v>
      </c>
      <c r="M4" s="218">
        <f>IFERROR((K4-E4)/E4,)</f>
        <v>0.41781719752813207</v>
      </c>
      <c r="N4" s="219">
        <v>82.997</v>
      </c>
      <c r="O4" s="217">
        <f t="shared" ref="O4:O5" si="4">IFERROR((N4-K4)/K4,)</f>
        <v>-3.4460400557130557E-3</v>
      </c>
      <c r="P4" s="218">
        <f>IFERROR((N4-F4)/F4,)</f>
        <v>0.39692665028444468</v>
      </c>
      <c r="Q4" s="219"/>
      <c r="R4" s="217">
        <f t="shared" ref="R4:R5" si="5">IFERROR((Q4-N4)/N4,)</f>
        <v>-1</v>
      </c>
      <c r="S4" s="220">
        <f>IFERROR((Q4-G4)/G4,)</f>
        <v>-1</v>
      </c>
      <c r="T4" s="216"/>
      <c r="U4" s="217">
        <f>IFERROR((T4-Q4)/Q4,)</f>
        <v>0</v>
      </c>
      <c r="V4" s="218">
        <f>IFERROR((T4-H4)/H4,)</f>
        <v>-1</v>
      </c>
      <c r="W4" s="219"/>
      <c r="X4" s="217">
        <f>IFERROR((W4-T4)/T4,)</f>
        <v>0</v>
      </c>
      <c r="Y4" s="218">
        <f>IFERROR((W4-K4)/K4,)</f>
        <v>-1</v>
      </c>
      <c r="Z4" s="219"/>
      <c r="AA4" s="217">
        <f>IFERROR((Z4-W4)/W4,)</f>
        <v>0</v>
      </c>
      <c r="AB4" s="218">
        <f>IFERROR((Z4-N4)/N4,)</f>
        <v>-1</v>
      </c>
      <c r="AC4" s="219"/>
      <c r="AD4" s="217">
        <f>IFERROR((AC4-Z4)/Z4,)</f>
        <v>0</v>
      </c>
      <c r="AE4" s="220">
        <f>IFERROR((AC4-Q4)/Q4,)</f>
        <v>0</v>
      </c>
    </row>
    <row r="5" spans="1:35" s="58" customFormat="1" ht="16.2" customHeight="1" x14ac:dyDescent="0.4">
      <c r="A5" s="156">
        <f>A4+1</f>
        <v>3</v>
      </c>
      <c r="B5" s="53" t="s">
        <v>190</v>
      </c>
      <c r="C5" s="54" t="s">
        <v>63</v>
      </c>
      <c r="D5" s="221">
        <v>-10.177</v>
      </c>
      <c r="E5" s="222">
        <v>-11.228</v>
      </c>
      <c r="F5" s="222">
        <v>-12.814</v>
      </c>
      <c r="G5" s="223">
        <v>-17.592629616000004</v>
      </c>
      <c r="H5" s="224">
        <v>-15.786</v>
      </c>
      <c r="I5" s="225">
        <f t="shared" si="1"/>
        <v>-0.10269241468921309</v>
      </c>
      <c r="J5" s="226">
        <f t="shared" si="2"/>
        <v>0.5511447381350103</v>
      </c>
      <c r="K5" s="227">
        <v>-19.265999999999998</v>
      </c>
      <c r="L5" s="225">
        <f t="shared" si="3"/>
        <v>0.22044849866970725</v>
      </c>
      <c r="M5" s="226">
        <f>IFERROR((K5-E5)/E5,)</f>
        <v>0.71588884930530805</v>
      </c>
      <c r="N5" s="227">
        <v>-19.273</v>
      </c>
      <c r="O5" s="225">
        <f t="shared" si="4"/>
        <v>3.6333437143161267E-4</v>
      </c>
      <c r="P5" s="226">
        <f>IFERROR((N5-F5)/F5,)</f>
        <v>0.50405806149523957</v>
      </c>
      <c r="Q5" s="227"/>
      <c r="R5" s="225">
        <f t="shared" si="5"/>
        <v>-1</v>
      </c>
      <c r="S5" s="228">
        <f>IFERROR((Q5-G5)/G5,)</f>
        <v>-1</v>
      </c>
      <c r="T5" s="224"/>
      <c r="U5" s="225">
        <f>IFERROR((T5-Q5)/Q5,)</f>
        <v>0</v>
      </c>
      <c r="V5" s="226">
        <f>IFERROR((T5-H5)/H5,)</f>
        <v>-1</v>
      </c>
      <c r="W5" s="227"/>
      <c r="X5" s="225">
        <f>IFERROR((W5-T5)/T5,)</f>
        <v>0</v>
      </c>
      <c r="Y5" s="226">
        <f>IFERROR((W5-K5)/K5,)</f>
        <v>-1</v>
      </c>
      <c r="Z5" s="227"/>
      <c r="AA5" s="225">
        <f>IFERROR((Z5-W5)/W5,)</f>
        <v>0</v>
      </c>
      <c r="AB5" s="226">
        <f>IFERROR((Z5-N5)/N5,)</f>
        <v>-1</v>
      </c>
      <c r="AC5" s="227"/>
      <c r="AD5" s="225">
        <f>IFERROR((AC5-Z5)/Z5,)</f>
        <v>0</v>
      </c>
      <c r="AE5" s="228">
        <f>IFERROR((AC5-Q5)/Q5,)</f>
        <v>0</v>
      </c>
    </row>
    <row r="6" spans="1:35" s="58" customFormat="1" ht="16.2" customHeight="1" x14ac:dyDescent="0.4">
      <c r="A6" s="156">
        <f t="shared" ref="A6:A23" si="6">A5+1</f>
        <v>4</v>
      </c>
      <c r="B6" s="59" t="s">
        <v>80</v>
      </c>
      <c r="C6" s="60" t="s">
        <v>125</v>
      </c>
      <c r="D6" s="229">
        <v>0.20200877349689356</v>
      </c>
      <c r="E6" s="230">
        <v>0.19114417527791491</v>
      </c>
      <c r="F6" s="230">
        <v>0.21567307368633654</v>
      </c>
      <c r="G6" s="231">
        <v>0.23644789634193417</v>
      </c>
      <c r="H6" s="232">
        <f>IFERROR(H5/(-H$4),)</f>
        <v>0.20471256467781049</v>
      </c>
      <c r="I6" s="225"/>
      <c r="J6" s="226"/>
      <c r="K6" s="233">
        <f>IFERROR(K5/(-K$4),)</f>
        <v>0.23132894673646795</v>
      </c>
      <c r="L6" s="225"/>
      <c r="M6" s="226"/>
      <c r="N6" s="233">
        <f>IFERROR(N5/(-N$4),)</f>
        <v>0.23221321252575394</v>
      </c>
      <c r="O6" s="225"/>
      <c r="P6" s="226"/>
      <c r="Q6" s="233"/>
      <c r="R6" s="225"/>
      <c r="S6" s="228"/>
      <c r="T6" s="232"/>
      <c r="U6" s="225"/>
      <c r="V6" s="226"/>
      <c r="W6" s="233"/>
      <c r="X6" s="225"/>
      <c r="Y6" s="226"/>
      <c r="Z6" s="233"/>
      <c r="AA6" s="225"/>
      <c r="AB6" s="226"/>
      <c r="AC6" s="233"/>
      <c r="AD6" s="225"/>
      <c r="AE6" s="228"/>
    </row>
    <row r="7" spans="1:35" s="21" customFormat="1" ht="16.2" customHeight="1" x14ac:dyDescent="0.4">
      <c r="A7" s="156">
        <f t="shared" si="6"/>
        <v>5</v>
      </c>
      <c r="B7" s="61" t="s">
        <v>191</v>
      </c>
      <c r="C7" s="62" t="s">
        <v>306</v>
      </c>
      <c r="D7" s="234">
        <v>40.201999999999998</v>
      </c>
      <c r="E7" s="235">
        <v>47.512999999999998</v>
      </c>
      <c r="F7" s="235">
        <v>46.6</v>
      </c>
      <c r="G7" s="236">
        <v>56.811202637000001</v>
      </c>
      <c r="H7" s="237">
        <f>H4+H5</f>
        <v>61.326999999999998</v>
      </c>
      <c r="I7" s="217">
        <f>H7/G7-1</f>
        <v>7.9487797360215495E-2</v>
      </c>
      <c r="J7" s="218">
        <f>H7/D7-1</f>
        <v>0.52547136958360285</v>
      </c>
      <c r="K7" s="238">
        <f>K4+K5</f>
        <v>64.018000000000001</v>
      </c>
      <c r="L7" s="217">
        <f t="shared" ref="L7" si="7">IFERROR((K7-H7)/H7,)</f>
        <v>4.3879531038531192E-2</v>
      </c>
      <c r="M7" s="218">
        <f>IFERROR((K7-E7)/E7,)</f>
        <v>0.3473786121693011</v>
      </c>
      <c r="N7" s="238">
        <f>N4+N5</f>
        <v>63.724000000000004</v>
      </c>
      <c r="O7" s="217">
        <f t="shared" ref="O7" si="8">IFERROR((N7-K7)/K7,)</f>
        <v>-4.5924583710830851E-3</v>
      </c>
      <c r="P7" s="218">
        <f>IFERROR((N7-F7)/F7,)</f>
        <v>0.36746781115879834</v>
      </c>
      <c r="Q7" s="238"/>
      <c r="R7" s="217">
        <f t="shared" ref="R7" si="9">IFERROR((Q7-N7)/N7,)</f>
        <v>-1</v>
      </c>
      <c r="S7" s="220">
        <f>IFERROR((Q7-G7)/G7,)</f>
        <v>-1</v>
      </c>
      <c r="T7" s="237"/>
      <c r="U7" s="217">
        <f>IFERROR((T7-Q7)/Q7,)</f>
        <v>0</v>
      </c>
      <c r="V7" s="218">
        <f>IFERROR((T7-H7)/H7,)</f>
        <v>-1</v>
      </c>
      <c r="W7" s="238"/>
      <c r="X7" s="217">
        <f>IFERROR((W7-T7)/T7,)</f>
        <v>0</v>
      </c>
      <c r="Y7" s="218">
        <f>IFERROR((W7-K7)/K7,)</f>
        <v>-1</v>
      </c>
      <c r="Z7" s="238"/>
      <c r="AA7" s="217">
        <f>IFERROR((Z7-W7)/W7,)</f>
        <v>0</v>
      </c>
      <c r="AB7" s="218">
        <f>IFERROR((Z7-N7)/N7,)</f>
        <v>-1</v>
      </c>
      <c r="AC7" s="238"/>
      <c r="AD7" s="217">
        <f>IFERROR((AC7-Z7)/Z7,)</f>
        <v>0</v>
      </c>
      <c r="AE7" s="220">
        <f>IFERROR((AC7-Q7)/Q7,)</f>
        <v>0</v>
      </c>
    </row>
    <row r="8" spans="1:35" s="201" customFormat="1" ht="16.2" customHeight="1" x14ac:dyDescent="0.4">
      <c r="A8" s="156">
        <f t="shared" si="6"/>
        <v>6</v>
      </c>
      <c r="B8" s="199" t="s">
        <v>80</v>
      </c>
      <c r="C8" s="200" t="s">
        <v>80</v>
      </c>
      <c r="D8" s="239">
        <v>0.7979912265031065</v>
      </c>
      <c r="E8" s="240">
        <v>0.80885582472208506</v>
      </c>
      <c r="F8" s="240">
        <v>0.78432692631366341</v>
      </c>
      <c r="G8" s="241">
        <v>0.76355210365806581</v>
      </c>
      <c r="H8" s="242">
        <f>H7/H$4</f>
        <v>0.79528743532218948</v>
      </c>
      <c r="I8" s="796">
        <f>H8-G8</f>
        <v>3.1735331664123678E-2</v>
      </c>
      <c r="J8" s="797">
        <f>H8-D8</f>
        <v>-2.7037911809170145E-3</v>
      </c>
      <c r="K8" s="243">
        <f>K7/K$4</f>
        <v>0.76867105326353191</v>
      </c>
      <c r="L8" s="241"/>
      <c r="M8" s="240"/>
      <c r="N8" s="243">
        <f>N7/N$4</f>
        <v>0.76778678747424611</v>
      </c>
      <c r="O8" s="241"/>
      <c r="P8" s="240"/>
      <c r="Q8" s="243"/>
      <c r="R8" s="241"/>
      <c r="S8" s="244"/>
      <c r="T8" s="242"/>
      <c r="U8" s="241"/>
      <c r="V8" s="240"/>
      <c r="W8" s="243"/>
      <c r="X8" s="241"/>
      <c r="Y8" s="240"/>
      <c r="Z8" s="243"/>
      <c r="AA8" s="241"/>
      <c r="AB8" s="240"/>
      <c r="AC8" s="243"/>
      <c r="AD8" s="241"/>
      <c r="AE8" s="244"/>
    </row>
    <row r="9" spans="1:35" s="71" customFormat="1" ht="16.2" customHeight="1" x14ac:dyDescent="0.4">
      <c r="A9" s="156">
        <f t="shared" si="6"/>
        <v>7</v>
      </c>
      <c r="B9" s="69" t="s">
        <v>192</v>
      </c>
      <c r="C9" s="70" t="s">
        <v>4</v>
      </c>
      <c r="D9" s="245">
        <v>-13.694000000000001</v>
      </c>
      <c r="E9" s="246">
        <v>-16.326000000000001</v>
      </c>
      <c r="F9" s="246">
        <v>-17.648</v>
      </c>
      <c r="G9" s="247">
        <v>-21.016887670999999</v>
      </c>
      <c r="H9" s="248">
        <v>-22.545999999999999</v>
      </c>
      <c r="I9" s="380">
        <f>H9/G9-1</f>
        <v>7.275636397438312E-2</v>
      </c>
      <c r="J9" s="530">
        <f>H9/D9-1</f>
        <v>0.64641448809697666</v>
      </c>
      <c r="K9" s="249">
        <v>-21.007000000000001</v>
      </c>
      <c r="L9" s="225">
        <f t="shared" ref="L9" si="10">IFERROR((K9-H9)/H9,)</f>
        <v>-6.8260445311806889E-2</v>
      </c>
      <c r="M9" s="226">
        <f>IFERROR((K9-E9)/E9,)</f>
        <v>0.28672056841847365</v>
      </c>
      <c r="N9" s="249">
        <v>-26.106000000000002</v>
      </c>
      <c r="O9" s="225">
        <f t="shared" ref="O9" si="11">IFERROR((N9-K9)/K9,)</f>
        <v>0.24272861427143333</v>
      </c>
      <c r="P9" s="226">
        <f>IFERROR((N9-F9)/F9,)</f>
        <v>0.4792611060743428</v>
      </c>
      <c r="Q9" s="249"/>
      <c r="R9" s="225">
        <f t="shared" ref="R9" si="12">IFERROR((Q9-N9)/N9,)</f>
        <v>-1</v>
      </c>
      <c r="S9" s="228">
        <f>IFERROR((Q9-G9)/G9,)</f>
        <v>-1</v>
      </c>
      <c r="T9" s="248"/>
      <c r="U9" s="225">
        <f>IFERROR((T9-Q9)/Q9,)</f>
        <v>0</v>
      </c>
      <c r="V9" s="226">
        <f>IFERROR((T9-H9)/H9,)</f>
        <v>-1</v>
      </c>
      <c r="W9" s="249"/>
      <c r="X9" s="225">
        <f>IFERROR((W9-T9)/T9,)</f>
        <v>0</v>
      </c>
      <c r="Y9" s="226">
        <f>IFERROR((W9-K9)/K9,)</f>
        <v>-1</v>
      </c>
      <c r="Z9" s="249"/>
      <c r="AA9" s="225">
        <f>IFERROR((Z9-W9)/W9,)</f>
        <v>0</v>
      </c>
      <c r="AB9" s="226">
        <f>IFERROR((Z9-N9)/N9,)</f>
        <v>-1</v>
      </c>
      <c r="AC9" s="249"/>
      <c r="AD9" s="225">
        <f>IFERROR((AC9-Z9)/Z9,)</f>
        <v>0</v>
      </c>
      <c r="AE9" s="228">
        <f>IFERROR((AC9-Q9)/Q9,)</f>
        <v>0</v>
      </c>
    </row>
    <row r="10" spans="1:35" s="71" customFormat="1" ht="16.2" customHeight="1" x14ac:dyDescent="0.4">
      <c r="A10" s="156">
        <f t="shared" si="6"/>
        <v>8</v>
      </c>
      <c r="B10" s="59" t="s">
        <v>80</v>
      </c>
      <c r="C10" s="60" t="s">
        <v>125</v>
      </c>
      <c r="D10" s="245">
        <v>0.27181960737608929</v>
      </c>
      <c r="E10" s="246">
        <v>0.27793193850972914</v>
      </c>
      <c r="F10" s="246">
        <v>0.29703436900393843</v>
      </c>
      <c r="G10" s="247">
        <v>0.28247049963145665</v>
      </c>
      <c r="H10" s="248">
        <f>IFERROR(H9/(-H$4),)</f>
        <v>0.29237612335144525</v>
      </c>
      <c r="I10" s="380"/>
      <c r="J10" s="530"/>
      <c r="K10" s="249">
        <f>IFERROR(K9/(-K$4),)</f>
        <v>0.25223332212669902</v>
      </c>
      <c r="L10" s="225"/>
      <c r="M10" s="226"/>
      <c r="N10" s="249">
        <f>IFERROR(N9/(-N$4),)</f>
        <v>0.31454148945142596</v>
      </c>
      <c r="O10" s="225"/>
      <c r="P10" s="226"/>
      <c r="Q10" s="233"/>
      <c r="R10" s="225"/>
      <c r="S10" s="228"/>
      <c r="T10" s="232"/>
      <c r="U10" s="225"/>
      <c r="V10" s="226"/>
      <c r="W10" s="233"/>
      <c r="X10" s="225"/>
      <c r="Y10" s="226"/>
      <c r="Z10" s="233"/>
      <c r="AA10" s="225"/>
      <c r="AB10" s="226"/>
      <c r="AC10" s="233"/>
      <c r="AD10" s="225"/>
      <c r="AE10" s="228"/>
      <c r="AI10" s="202"/>
    </row>
    <row r="11" spans="1:35" s="50" customFormat="1" ht="16.2" customHeight="1" x14ac:dyDescent="0.4">
      <c r="A11" s="156">
        <f t="shared" si="6"/>
        <v>9</v>
      </c>
      <c r="B11" s="47" t="s">
        <v>193</v>
      </c>
      <c r="C11" s="48" t="s">
        <v>307</v>
      </c>
      <c r="D11" s="213">
        <v>26.507999999999996</v>
      </c>
      <c r="E11" s="214">
        <v>31.187999999999999</v>
      </c>
      <c r="F11" s="214">
        <v>28.952000000000002</v>
      </c>
      <c r="G11" s="215">
        <v>35.794314966000002</v>
      </c>
      <c r="H11" s="216">
        <f t="shared" ref="H11" si="13">H7+H9</f>
        <v>38.780999999999999</v>
      </c>
      <c r="I11" s="217">
        <f>H11/G11-1</f>
        <v>8.3440206547798601E-2</v>
      </c>
      <c r="J11" s="218">
        <f>H11/D11-1</f>
        <v>0.46299230421004989</v>
      </c>
      <c r="K11" s="219">
        <f t="shared" ref="K11" si="14">K7+K9</f>
        <v>43.010999999999996</v>
      </c>
      <c r="L11" s="217">
        <f t="shared" ref="L11" si="15">IFERROR((K11-H11)/H11,)</f>
        <v>0.1090740310977024</v>
      </c>
      <c r="M11" s="218">
        <f>IFERROR((K11-E11)/E11,)</f>
        <v>0.37908811081185062</v>
      </c>
      <c r="N11" s="219">
        <f t="shared" ref="N11" si="16">N7+N9</f>
        <v>37.618000000000002</v>
      </c>
      <c r="O11" s="217">
        <f t="shared" ref="O11" si="17">IFERROR((N11-K11)/K11,)</f>
        <v>-0.12538652902745795</v>
      </c>
      <c r="P11" s="218">
        <f>IFERROR((N11-F11)/F11,)</f>
        <v>0.29932301740812378</v>
      </c>
      <c r="Q11" s="219"/>
      <c r="R11" s="217">
        <f t="shared" ref="R11" si="18">IFERROR((Q11-N11)/N11,)</f>
        <v>-1</v>
      </c>
      <c r="S11" s="220">
        <f>IFERROR((Q11-G11)/G11,)</f>
        <v>-1</v>
      </c>
      <c r="T11" s="216"/>
      <c r="U11" s="217">
        <f>IFERROR((T11-Q11)/Q11,)</f>
        <v>0</v>
      </c>
      <c r="V11" s="218">
        <f>IFERROR((T11-H11)/H11,)</f>
        <v>-1</v>
      </c>
      <c r="W11" s="219"/>
      <c r="X11" s="217">
        <f>IFERROR((W11-T11)/T11,)</f>
        <v>0</v>
      </c>
      <c r="Y11" s="218">
        <f>IFERROR((W11-K11)/K11,)</f>
        <v>-1</v>
      </c>
      <c r="Z11" s="219"/>
      <c r="AA11" s="217">
        <f>IFERROR((Z11-W11)/W11,)</f>
        <v>0</v>
      </c>
      <c r="AB11" s="218">
        <f>IFERROR((Z11-N11)/N11,)</f>
        <v>-1</v>
      </c>
      <c r="AC11" s="219"/>
      <c r="AD11" s="217">
        <f>IFERROR((AC11-Z11)/Z11,)</f>
        <v>0</v>
      </c>
      <c r="AE11" s="220">
        <f>IFERROR((AC11-Q11)/Q11,)</f>
        <v>0</v>
      </c>
    </row>
    <row r="12" spans="1:35" s="202" customFormat="1" ht="16.2" customHeight="1" x14ac:dyDescent="0.4">
      <c r="A12" s="156">
        <f t="shared" si="6"/>
        <v>10</v>
      </c>
      <c r="B12" s="199" t="s">
        <v>80</v>
      </c>
      <c r="C12" s="200" t="s">
        <v>80</v>
      </c>
      <c r="D12" s="239">
        <v>0.52617161912701715</v>
      </c>
      <c r="E12" s="240">
        <v>0.53092388621235587</v>
      </c>
      <c r="F12" s="240">
        <v>0.48729255730972498</v>
      </c>
      <c r="G12" s="241">
        <v>0.48108160402660921</v>
      </c>
      <c r="H12" s="242">
        <f>H11/H$4</f>
        <v>0.50291131197074423</v>
      </c>
      <c r="I12" s="241"/>
      <c r="J12" s="240"/>
      <c r="K12" s="243">
        <f>K11/K$4</f>
        <v>0.51643773113683289</v>
      </c>
      <c r="L12" s="241"/>
      <c r="M12" s="240"/>
      <c r="N12" s="243">
        <f>N11/N$4</f>
        <v>0.45324529802282015</v>
      </c>
      <c r="O12" s="241"/>
      <c r="P12" s="240"/>
      <c r="Q12" s="243"/>
      <c r="R12" s="241"/>
      <c r="S12" s="244"/>
      <c r="T12" s="242"/>
      <c r="U12" s="241"/>
      <c r="V12" s="240"/>
      <c r="W12" s="243"/>
      <c r="X12" s="241"/>
      <c r="Y12" s="240"/>
      <c r="Z12" s="243"/>
      <c r="AA12" s="241"/>
      <c r="AB12" s="240"/>
      <c r="AC12" s="243"/>
      <c r="AD12" s="241"/>
      <c r="AE12" s="244"/>
    </row>
    <row r="13" spans="1:35" s="141" customFormat="1" ht="16.2" customHeight="1" x14ac:dyDescent="0.4">
      <c r="A13" s="156">
        <f t="shared" si="6"/>
        <v>11</v>
      </c>
      <c r="B13" s="493" t="s">
        <v>194</v>
      </c>
      <c r="C13" s="494" t="s">
        <v>59</v>
      </c>
      <c r="D13" s="495">
        <v>6.48</v>
      </c>
      <c r="E13" s="496">
        <v>4.8540000000000001</v>
      </c>
      <c r="F13" s="496">
        <v>-3.06</v>
      </c>
      <c r="G13" s="533">
        <v>15.933351461000001</v>
      </c>
      <c r="H13" s="528">
        <v>2.137</v>
      </c>
      <c r="I13" s="380">
        <f t="shared" ref="I13:I16" si="19">H13/G13-1</f>
        <v>-0.86587881368017738</v>
      </c>
      <c r="J13" s="530">
        <f t="shared" ref="J13:J16" si="20">H13/D13-1</f>
        <v>-0.67021604938271606</v>
      </c>
      <c r="K13" s="529">
        <v>1.0189999999999999</v>
      </c>
      <c r="L13" s="380">
        <f t="shared" ref="L13:L19" si="21">IFERROR((K13-H13)/H13,)</f>
        <v>-0.52316331305568564</v>
      </c>
      <c r="M13" s="530">
        <f>IFERROR((K13-E13)/E13,)</f>
        <v>-0.7900700453234446</v>
      </c>
      <c r="N13" s="529">
        <v>2.2450000000000001</v>
      </c>
      <c r="O13" s="380">
        <f t="shared" ref="O13:O19" si="22">IFERROR((N13-K13)/K13,)</f>
        <v>1.2031403336604518</v>
      </c>
      <c r="P13" s="530">
        <f>IFERROR((N13-F13)/F13,)</f>
        <v>-1.7336601307189541</v>
      </c>
      <c r="Q13" s="531"/>
      <c r="R13" s="380">
        <f t="shared" ref="R13:R19" si="23">IFERROR((Q13-N13)/N13,)</f>
        <v>-1</v>
      </c>
      <c r="S13" s="532">
        <f>IFERROR((Q13-G13)/G13,)</f>
        <v>-1</v>
      </c>
      <c r="T13" s="528"/>
      <c r="U13" s="380">
        <f>IFERROR((T13-Q13)/Q13,)</f>
        <v>0</v>
      </c>
      <c r="V13" s="530">
        <f>IFERROR((T13-H13)/H13,)</f>
        <v>-1</v>
      </c>
      <c r="W13" s="529"/>
      <c r="X13" s="380">
        <f>IFERROR((W13-T13)/T13,)</f>
        <v>0</v>
      </c>
      <c r="Y13" s="530">
        <f>IFERROR((W13-K13)/K13,)</f>
        <v>-1</v>
      </c>
      <c r="Z13" s="529"/>
      <c r="AA13" s="380">
        <f>IFERROR((Z13-W13)/W13,)</f>
        <v>0</v>
      </c>
      <c r="AB13" s="530">
        <f>IFERROR((Z13-N13)/N13,)</f>
        <v>-1</v>
      </c>
      <c r="AC13" s="531"/>
      <c r="AD13" s="380">
        <f>IFERROR((AC13-Z13)/Z13,)</f>
        <v>0</v>
      </c>
      <c r="AE13" s="532">
        <f>IFERROR((AC13-Q13)/Q13,)</f>
        <v>0</v>
      </c>
    </row>
    <row r="14" spans="1:35" s="141" customFormat="1" ht="16.2" customHeight="1" x14ac:dyDescent="0.4">
      <c r="A14" s="156">
        <f t="shared" si="6"/>
        <v>12</v>
      </c>
      <c r="B14" s="493" t="s">
        <v>196</v>
      </c>
      <c r="C14" s="494" t="s">
        <v>60</v>
      </c>
      <c r="D14" s="495">
        <f>-0.556-0.30999</f>
        <v>-0.86599000000000004</v>
      </c>
      <c r="E14" s="496">
        <v>-1.7689999999999999</v>
      </c>
      <c r="F14" s="496">
        <v>-2.6746856170000002</v>
      </c>
      <c r="G14" s="533">
        <v>-0.91661571799999997</v>
      </c>
      <c r="H14" s="528">
        <f>-1.309-0.102586</f>
        <v>-1.411586</v>
      </c>
      <c r="I14" s="380">
        <f t="shared" si="19"/>
        <v>0.53999759362625288</v>
      </c>
      <c r="J14" s="530">
        <f t="shared" si="20"/>
        <v>0.63002575087472135</v>
      </c>
      <c r="K14" s="531">
        <v>-11.505000000000001</v>
      </c>
      <c r="L14" s="380">
        <f t="shared" si="21"/>
        <v>7.1504067056488241</v>
      </c>
      <c r="M14" s="530">
        <f t="shared" ref="M14:M19" si="24">IFERROR((K14-E14)/E14,)</f>
        <v>5.5036743923120417</v>
      </c>
      <c r="N14" s="531">
        <v>2.9740000000000002</v>
      </c>
      <c r="O14" s="380">
        <f t="shared" si="22"/>
        <v>-1.2584963059539331</v>
      </c>
      <c r="P14" s="530">
        <f t="shared" ref="P14:P19" si="25">IFERROR((N14-F14)/F14,)</f>
        <v>-2.1119063792385884</v>
      </c>
      <c r="Q14" s="531"/>
      <c r="R14" s="380">
        <f t="shared" si="23"/>
        <v>-1</v>
      </c>
      <c r="S14" s="532">
        <f t="shared" ref="S14:S19" si="26">IFERROR((Q14-G14)/G14,)</f>
        <v>-1</v>
      </c>
      <c r="T14" s="528"/>
      <c r="U14" s="380">
        <f t="shared" ref="U14:U19" si="27">IFERROR((T14-Q14)/Q14,)</f>
        <v>0</v>
      </c>
      <c r="V14" s="530">
        <f t="shared" ref="V14:V19" si="28">IFERROR((T14-H14)/H14,)</f>
        <v>-1</v>
      </c>
      <c r="W14" s="531"/>
      <c r="X14" s="380">
        <f t="shared" ref="X14:X19" si="29">IFERROR((W14-T14)/T14,)</f>
        <v>0</v>
      </c>
      <c r="Y14" s="530">
        <f t="shared" ref="Y14:Y19" si="30">IFERROR((W14-K14)/K14,)</f>
        <v>-1</v>
      </c>
      <c r="Z14" s="531"/>
      <c r="AA14" s="380">
        <f t="shared" ref="AA14:AA19" si="31">IFERROR((Z14-W14)/W14,)</f>
        <v>0</v>
      </c>
      <c r="AB14" s="530">
        <f t="shared" ref="AB14:AB19" si="32">IFERROR((Z14-N14)/N14,)</f>
        <v>-1</v>
      </c>
      <c r="AC14" s="531"/>
      <c r="AD14" s="380">
        <f t="shared" ref="AD14:AD19" si="33">IFERROR((AC14-Z14)/Z14,)</f>
        <v>0</v>
      </c>
      <c r="AE14" s="532">
        <f t="shared" ref="AE14:AE19" si="34">IFERROR((AC14-Q14)/Q14,)</f>
        <v>0</v>
      </c>
    </row>
    <row r="15" spans="1:35" s="141" customFormat="1" ht="16.2" customHeight="1" x14ac:dyDescent="0.4">
      <c r="A15" s="156">
        <f t="shared" si="6"/>
        <v>13</v>
      </c>
      <c r="B15" s="493" t="s">
        <v>198</v>
      </c>
      <c r="C15" s="494" t="s">
        <v>61</v>
      </c>
      <c r="D15" s="495">
        <v>4.0000000000000002E-4</v>
      </c>
      <c r="E15" s="496">
        <v>8.9999999999999993E-3</v>
      </c>
      <c r="F15" s="496">
        <v>1.3751589999999999E-3</v>
      </c>
      <c r="G15" s="533">
        <v>1.6804752999999999E-2</v>
      </c>
      <c r="H15" s="528">
        <v>4.4999999999999998E-2</v>
      </c>
      <c r="I15" s="380">
        <f t="shared" si="19"/>
        <v>1.6778138304085757</v>
      </c>
      <c r="J15" s="530">
        <f t="shared" si="20"/>
        <v>111.49999999999999</v>
      </c>
      <c r="K15" s="529">
        <v>3.5999999999999997E-2</v>
      </c>
      <c r="L15" s="380">
        <f t="shared" si="21"/>
        <v>-0.20000000000000004</v>
      </c>
      <c r="M15" s="530">
        <f t="shared" si="24"/>
        <v>3</v>
      </c>
      <c r="N15" s="529">
        <v>5.3999999999999999E-2</v>
      </c>
      <c r="O15" s="380">
        <f t="shared" si="22"/>
        <v>0.50000000000000011</v>
      </c>
      <c r="P15" s="530">
        <f t="shared" si="25"/>
        <v>38.268186442440474</v>
      </c>
      <c r="Q15" s="531"/>
      <c r="R15" s="380">
        <f t="shared" si="23"/>
        <v>-1</v>
      </c>
      <c r="S15" s="532">
        <f t="shared" si="26"/>
        <v>-1</v>
      </c>
      <c r="T15" s="528"/>
      <c r="U15" s="380">
        <f t="shared" si="27"/>
        <v>0</v>
      </c>
      <c r="V15" s="530">
        <f t="shared" si="28"/>
        <v>-1</v>
      </c>
      <c r="W15" s="529"/>
      <c r="X15" s="380">
        <f t="shared" si="29"/>
        <v>0</v>
      </c>
      <c r="Y15" s="530">
        <f t="shared" si="30"/>
        <v>-1</v>
      </c>
      <c r="Z15" s="529"/>
      <c r="AA15" s="380">
        <f t="shared" si="31"/>
        <v>0</v>
      </c>
      <c r="AB15" s="530">
        <f t="shared" si="32"/>
        <v>-1</v>
      </c>
      <c r="AC15" s="531"/>
      <c r="AD15" s="380">
        <f t="shared" si="33"/>
        <v>0</v>
      </c>
      <c r="AE15" s="532">
        <f t="shared" si="34"/>
        <v>0</v>
      </c>
    </row>
    <row r="16" spans="1:35" s="141" customFormat="1" ht="16.2" customHeight="1" x14ac:dyDescent="0.4">
      <c r="A16" s="156">
        <f t="shared" si="6"/>
        <v>14</v>
      </c>
      <c r="B16" s="493" t="s">
        <v>200</v>
      </c>
      <c r="C16" s="494" t="s">
        <v>62</v>
      </c>
      <c r="D16" s="495">
        <f>-0.346+0.30999</f>
        <v>-3.6009999999999986E-2</v>
      </c>
      <c r="E16" s="496">
        <v>0.25900000000000001</v>
      </c>
      <c r="F16" s="496">
        <v>2.069708E-3</v>
      </c>
      <c r="G16" s="533">
        <v>-11.417174411</v>
      </c>
      <c r="H16" s="528">
        <f>-0.104+0.102586</f>
        <v>-1.4139999999999986E-3</v>
      </c>
      <c r="I16" s="380">
        <f t="shared" si="19"/>
        <v>-0.99987615149343456</v>
      </c>
      <c r="J16" s="530">
        <f t="shared" si="20"/>
        <v>-0.96073312968619828</v>
      </c>
      <c r="K16" s="531">
        <v>-0.65</v>
      </c>
      <c r="L16" s="380">
        <f t="shared" si="21"/>
        <v>458.68882602546012</v>
      </c>
      <c r="M16" s="530">
        <f t="shared" si="24"/>
        <v>-3.5096525096525095</v>
      </c>
      <c r="N16" s="531">
        <v>-4.9000000000000002E-2</v>
      </c>
      <c r="O16" s="380">
        <f t="shared" si="22"/>
        <v>-0.92461538461538451</v>
      </c>
      <c r="P16" s="530">
        <f t="shared" si="25"/>
        <v>-24.674837223415093</v>
      </c>
      <c r="Q16" s="531"/>
      <c r="R16" s="380">
        <f t="shared" si="23"/>
        <v>-1</v>
      </c>
      <c r="S16" s="532">
        <f t="shared" si="26"/>
        <v>-1</v>
      </c>
      <c r="T16" s="528"/>
      <c r="U16" s="380">
        <f t="shared" si="27"/>
        <v>0</v>
      </c>
      <c r="V16" s="530">
        <f t="shared" si="28"/>
        <v>-1</v>
      </c>
      <c r="W16" s="531"/>
      <c r="X16" s="380">
        <f t="shared" si="29"/>
        <v>0</v>
      </c>
      <c r="Y16" s="530">
        <f t="shared" si="30"/>
        <v>-1</v>
      </c>
      <c r="Z16" s="531"/>
      <c r="AA16" s="380">
        <f t="shared" si="31"/>
        <v>0</v>
      </c>
      <c r="AB16" s="530">
        <f t="shared" si="32"/>
        <v>-1</v>
      </c>
      <c r="AC16" s="531"/>
      <c r="AD16" s="380">
        <f t="shared" si="33"/>
        <v>0</v>
      </c>
      <c r="AE16" s="532">
        <f t="shared" si="34"/>
        <v>0</v>
      </c>
    </row>
    <row r="17" spans="1:31" s="50" customFormat="1" ht="16.2" customHeight="1" x14ac:dyDescent="0.4">
      <c r="A17" s="156">
        <f t="shared" si="6"/>
        <v>15</v>
      </c>
      <c r="B17" s="897" t="s">
        <v>255</v>
      </c>
      <c r="C17" s="48" t="s">
        <v>481</v>
      </c>
      <c r="D17" s="213">
        <f>D11+D13+D14+D15+D16</f>
        <v>32.086400000000005</v>
      </c>
      <c r="E17" s="214">
        <f>E11+E13+E14+E15+E16</f>
        <v>34.541000000000004</v>
      </c>
      <c r="F17" s="214">
        <v>22.398103704</v>
      </c>
      <c r="G17" s="215">
        <v>38.899779707000008</v>
      </c>
      <c r="H17" s="216">
        <f>H11+H13+H14+H15+H16</f>
        <v>39.550000000000004</v>
      </c>
      <c r="I17" s="217">
        <f>H17/G17-1</f>
        <v>1.6715269286807555E-2</v>
      </c>
      <c r="J17" s="218">
        <f>H17/D17-1</f>
        <v>0.23260945447292314</v>
      </c>
      <c r="K17" s="219">
        <f>K11+K13+K14+K15+K16</f>
        <v>31.910999999999994</v>
      </c>
      <c r="L17" s="217">
        <f t="shared" si="21"/>
        <v>-0.19314791403287002</v>
      </c>
      <c r="M17" s="218">
        <f t="shared" si="24"/>
        <v>-7.6141397180162981E-2</v>
      </c>
      <c r="N17" s="219">
        <f>N11+N13+N14+N15+N16</f>
        <v>42.842000000000006</v>
      </c>
      <c r="O17" s="217">
        <f t="shared" si="22"/>
        <v>0.34254645733446187</v>
      </c>
      <c r="P17" s="218">
        <f t="shared" si="25"/>
        <v>0.91275121171749019</v>
      </c>
      <c r="Q17" s="219"/>
      <c r="R17" s="217">
        <f t="shared" si="23"/>
        <v>-1</v>
      </c>
      <c r="S17" s="220">
        <f t="shared" si="26"/>
        <v>-1</v>
      </c>
      <c r="T17" s="216"/>
      <c r="U17" s="217">
        <f t="shared" si="27"/>
        <v>0</v>
      </c>
      <c r="V17" s="218">
        <f t="shared" si="28"/>
        <v>-1</v>
      </c>
      <c r="W17" s="219"/>
      <c r="X17" s="217">
        <f t="shared" si="29"/>
        <v>0</v>
      </c>
      <c r="Y17" s="218">
        <f t="shared" si="30"/>
        <v>-1</v>
      </c>
      <c r="Z17" s="219"/>
      <c r="AA17" s="217">
        <f t="shared" si="31"/>
        <v>0</v>
      </c>
      <c r="AB17" s="218">
        <f t="shared" si="32"/>
        <v>-1</v>
      </c>
      <c r="AC17" s="219"/>
      <c r="AD17" s="217">
        <f t="shared" si="33"/>
        <v>0</v>
      </c>
      <c r="AE17" s="220">
        <f t="shared" si="34"/>
        <v>0</v>
      </c>
    </row>
    <row r="18" spans="1:31" s="508" customFormat="1" ht="13.2" x14ac:dyDescent="0.4">
      <c r="A18" s="156">
        <f t="shared" si="6"/>
        <v>16</v>
      </c>
      <c r="B18" s="498" t="s">
        <v>202</v>
      </c>
      <c r="C18" s="499" t="s">
        <v>266</v>
      </c>
      <c r="D18" s="500">
        <v>-6.0024000000000051</v>
      </c>
      <c r="E18" s="501">
        <v>-7.960999999999995</v>
      </c>
      <c r="F18" s="501">
        <v>-5.9085837840000011</v>
      </c>
      <c r="G18" s="502">
        <v>-10.183783163000008</v>
      </c>
      <c r="H18" s="503">
        <f t="shared" ref="H18" si="35">H19-H17</f>
        <v>-9.8270000000000053</v>
      </c>
      <c r="I18" s="504">
        <f t="shared" ref="I18:I19" si="36">H18/G18-1</f>
        <v>-3.5034442239135322E-2</v>
      </c>
      <c r="J18" s="505">
        <f t="shared" ref="J18:J19" si="37">H18/D18-1</f>
        <v>0.63717846194855343</v>
      </c>
      <c r="K18" s="506">
        <f t="shared" ref="K18" si="38">K19-K17</f>
        <v>-5.438999999999993</v>
      </c>
      <c r="L18" s="250">
        <f t="shared" si="21"/>
        <v>-0.44652488043146532</v>
      </c>
      <c r="M18" s="505">
        <f t="shared" si="24"/>
        <v>-0.31679437256626097</v>
      </c>
      <c r="N18" s="506">
        <f t="shared" ref="N18" si="39">N19-N17</f>
        <v>-9.7340000000000089</v>
      </c>
      <c r="O18" s="250">
        <f t="shared" si="22"/>
        <v>0.78966721823865071</v>
      </c>
      <c r="P18" s="505">
        <f t="shared" si="25"/>
        <v>0.64743369237801895</v>
      </c>
      <c r="Q18" s="506"/>
      <c r="R18" s="504">
        <f t="shared" si="23"/>
        <v>-1</v>
      </c>
      <c r="S18" s="507">
        <f t="shared" si="26"/>
        <v>-1</v>
      </c>
      <c r="T18" s="503"/>
      <c r="U18" s="504">
        <f t="shared" si="27"/>
        <v>0</v>
      </c>
      <c r="V18" s="505">
        <f t="shared" si="28"/>
        <v>-1</v>
      </c>
      <c r="W18" s="506"/>
      <c r="X18" s="504">
        <f t="shared" si="29"/>
        <v>0</v>
      </c>
      <c r="Y18" s="505">
        <f t="shared" si="30"/>
        <v>-1</v>
      </c>
      <c r="Z18" s="506"/>
      <c r="AA18" s="504">
        <f t="shared" si="31"/>
        <v>0</v>
      </c>
      <c r="AB18" s="505">
        <f t="shared" si="32"/>
        <v>-1</v>
      </c>
      <c r="AC18" s="506"/>
      <c r="AD18" s="504">
        <f t="shared" si="33"/>
        <v>0</v>
      </c>
      <c r="AE18" s="507">
        <f t="shared" si="34"/>
        <v>0</v>
      </c>
    </row>
    <row r="19" spans="1:31" s="21" customFormat="1" ht="16.2" customHeight="1" x14ac:dyDescent="0.4">
      <c r="A19" s="156">
        <f t="shared" si="6"/>
        <v>17</v>
      </c>
      <c r="B19" s="61" t="s">
        <v>408</v>
      </c>
      <c r="C19" s="62" t="s">
        <v>411</v>
      </c>
      <c r="D19" s="256">
        <v>26.084</v>
      </c>
      <c r="E19" s="257">
        <v>26.580000000000002</v>
      </c>
      <c r="F19" s="257">
        <v>16.489519919999999</v>
      </c>
      <c r="G19" s="258">
        <v>28.715996543999999</v>
      </c>
      <c r="H19" s="259">
        <v>29.722999999999999</v>
      </c>
      <c r="I19" s="217">
        <f t="shared" si="36"/>
        <v>3.506768272718741E-2</v>
      </c>
      <c r="J19" s="218">
        <f t="shared" si="37"/>
        <v>0.13951081122527209</v>
      </c>
      <c r="K19" s="238">
        <v>26.472000000000001</v>
      </c>
      <c r="L19" s="217">
        <f t="shared" si="21"/>
        <v>-0.10937657706153477</v>
      </c>
      <c r="M19" s="218">
        <f t="shared" si="24"/>
        <v>-4.0632054176072433E-3</v>
      </c>
      <c r="N19" s="238">
        <v>33.107999999999997</v>
      </c>
      <c r="O19" s="217">
        <f t="shared" si="22"/>
        <v>0.2506799637352673</v>
      </c>
      <c r="P19" s="218">
        <f t="shared" si="25"/>
        <v>1.0078207346621162</v>
      </c>
      <c r="Q19" s="238"/>
      <c r="R19" s="217">
        <f t="shared" si="23"/>
        <v>-1</v>
      </c>
      <c r="S19" s="220">
        <f t="shared" si="26"/>
        <v>-1</v>
      </c>
      <c r="T19" s="237"/>
      <c r="U19" s="217">
        <f t="shared" si="27"/>
        <v>0</v>
      </c>
      <c r="V19" s="218">
        <f t="shared" si="28"/>
        <v>-1</v>
      </c>
      <c r="W19" s="238"/>
      <c r="X19" s="217">
        <f t="shared" si="29"/>
        <v>0</v>
      </c>
      <c r="Y19" s="218">
        <f t="shared" si="30"/>
        <v>-1</v>
      </c>
      <c r="Z19" s="238"/>
      <c r="AA19" s="217">
        <f t="shared" si="31"/>
        <v>0</v>
      </c>
      <c r="AB19" s="218">
        <f t="shared" si="32"/>
        <v>-1</v>
      </c>
      <c r="AC19" s="238"/>
      <c r="AD19" s="217">
        <f t="shared" si="33"/>
        <v>0</v>
      </c>
      <c r="AE19" s="220">
        <f t="shared" si="34"/>
        <v>0</v>
      </c>
    </row>
    <row r="20" spans="1:31" s="201" customFormat="1" ht="16.2" customHeight="1" x14ac:dyDescent="0.4">
      <c r="A20" s="156">
        <f t="shared" si="6"/>
        <v>18</v>
      </c>
      <c r="B20" s="199" t="s">
        <v>80</v>
      </c>
      <c r="C20" s="200" t="s">
        <v>80</v>
      </c>
      <c r="D20" s="239">
        <v>0.51775541396216684</v>
      </c>
      <c r="E20" s="240">
        <v>0.45249485027493574</v>
      </c>
      <c r="F20" s="240">
        <v>0.2775359329450971</v>
      </c>
      <c r="G20" s="241">
        <v>0.38594781578393972</v>
      </c>
      <c r="H20" s="242">
        <f>H19/H$4</f>
        <v>0.38544733054089453</v>
      </c>
      <c r="I20" s="241"/>
      <c r="J20" s="240"/>
      <c r="K20" s="243">
        <f>K19/K$4</f>
        <v>0.31785216848374237</v>
      </c>
      <c r="L20" s="241"/>
      <c r="M20" s="240"/>
      <c r="N20" s="243">
        <f>N19/N$4</f>
        <v>0.39890598455365855</v>
      </c>
      <c r="O20" s="241"/>
      <c r="P20" s="240"/>
      <c r="Q20" s="243"/>
      <c r="R20" s="241"/>
      <c r="S20" s="244"/>
      <c r="T20" s="242"/>
      <c r="U20" s="241"/>
      <c r="V20" s="240"/>
      <c r="W20" s="243"/>
      <c r="X20" s="241"/>
      <c r="Y20" s="240"/>
      <c r="Z20" s="243"/>
      <c r="AA20" s="241"/>
      <c r="AB20" s="240"/>
      <c r="AC20" s="243"/>
      <c r="AD20" s="241"/>
      <c r="AE20" s="244"/>
    </row>
    <row r="21" spans="1:31" s="74" customFormat="1" ht="16.2" customHeight="1" x14ac:dyDescent="0.4">
      <c r="A21" s="156">
        <f t="shared" si="6"/>
        <v>19</v>
      </c>
      <c r="B21" s="72" t="s">
        <v>51</v>
      </c>
      <c r="C21" s="73" t="s">
        <v>5</v>
      </c>
      <c r="D21" s="260">
        <v>1.159778</v>
      </c>
      <c r="E21" s="261">
        <v>1.1765669999999999</v>
      </c>
      <c r="F21" s="261">
        <v>1.204</v>
      </c>
      <c r="G21" s="262">
        <v>3.6771353819999999</v>
      </c>
      <c r="H21" s="263">
        <v>3.5550000000000002</v>
      </c>
      <c r="I21" s="264">
        <f t="shared" ref="I21:I22" si="40">H21/G21-1</f>
        <v>-3.321481787096181E-2</v>
      </c>
      <c r="J21" s="265">
        <f t="shared" ref="J21:J22" si="41">H21/D21-1</f>
        <v>2.0652417962748046</v>
      </c>
      <c r="K21" s="266">
        <v>3.6440000000000001</v>
      </c>
      <c r="L21" s="264">
        <f t="shared" ref="L21:L22" si="42">IFERROR((K21-H21)/H21,)</f>
        <v>2.5035161744022493E-2</v>
      </c>
      <c r="M21" s="265">
        <f t="shared" ref="M21:M22" si="43">IFERROR((K21-E21)/E21,)</f>
        <v>2.0971461888698224</v>
      </c>
      <c r="N21" s="266">
        <v>3.718</v>
      </c>
      <c r="O21" s="264">
        <f t="shared" ref="O21:O22" si="44">IFERROR((N21-K21)/K21,)</f>
        <v>2.0307354555433546E-2</v>
      </c>
      <c r="P21" s="265">
        <f t="shared" ref="P21:P22" si="45">IFERROR((N21-F21)/F21,)</f>
        <v>2.088039867109635</v>
      </c>
      <c r="Q21" s="266"/>
      <c r="R21" s="254">
        <f t="shared" ref="R21:R22" si="46">IFERROR((Q21-N21)/N21,)</f>
        <v>-1</v>
      </c>
      <c r="S21" s="255">
        <f t="shared" ref="S21:S22" si="47">IFERROR((Q21-G21)/G21,)</f>
        <v>-1</v>
      </c>
      <c r="T21" s="263"/>
      <c r="U21" s="264">
        <f t="shared" ref="U21:U22" si="48">IFERROR((T21-Q21)/Q21,)</f>
        <v>0</v>
      </c>
      <c r="V21" s="265">
        <f t="shared" ref="V21:V22" si="49">IFERROR((T21-H21)/H21,)</f>
        <v>-1</v>
      </c>
      <c r="W21" s="266"/>
      <c r="X21" s="264">
        <f t="shared" ref="X21:X22" si="50">IFERROR((W21-T21)/T21,)</f>
        <v>0</v>
      </c>
      <c r="Y21" s="265">
        <f t="shared" ref="Y21:Y22" si="51">IFERROR((W21-K21)/K21,)</f>
        <v>-1</v>
      </c>
      <c r="Z21" s="266"/>
      <c r="AA21" s="264">
        <f t="shared" ref="AA21:AA22" si="52">IFERROR((Z21-W21)/W21,)</f>
        <v>0</v>
      </c>
      <c r="AB21" s="265">
        <f t="shared" ref="AB21:AB22" si="53">IFERROR((Z21-N21)/N21,)</f>
        <v>-1</v>
      </c>
      <c r="AC21" s="266"/>
      <c r="AD21" s="264">
        <f t="shared" ref="AD21:AD22" si="54">IFERROR((AC21-Z21)/Z21,)</f>
        <v>0</v>
      </c>
      <c r="AE21" s="267">
        <f t="shared" ref="AE21:AE22" si="55">IFERROR((AC21-Q21)/Q21,)</f>
        <v>0</v>
      </c>
    </row>
    <row r="22" spans="1:31" s="50" customFormat="1" ht="16.2" customHeight="1" x14ac:dyDescent="0.4">
      <c r="A22" s="156">
        <f t="shared" si="6"/>
        <v>20</v>
      </c>
      <c r="B22" s="47" t="s">
        <v>6</v>
      </c>
      <c r="C22" s="48" t="s">
        <v>6</v>
      </c>
      <c r="D22" s="213">
        <v>27.667777999999995</v>
      </c>
      <c r="E22" s="214">
        <v>32.363566999999996</v>
      </c>
      <c r="F22" s="214">
        <v>30.156000000000002</v>
      </c>
      <c r="G22" s="215">
        <v>39.471450348000005</v>
      </c>
      <c r="H22" s="216">
        <f>H21+H11</f>
        <v>42.335999999999999</v>
      </c>
      <c r="I22" s="217">
        <f t="shared" si="40"/>
        <v>7.2572698158914761E-2</v>
      </c>
      <c r="J22" s="218">
        <f t="shared" si="41"/>
        <v>0.53015540315525178</v>
      </c>
      <c r="K22" s="219">
        <f>K21+K11</f>
        <v>46.654999999999994</v>
      </c>
      <c r="L22" s="217">
        <f t="shared" si="42"/>
        <v>0.10201719576719566</v>
      </c>
      <c r="M22" s="218">
        <f t="shared" si="43"/>
        <v>0.44159016835196191</v>
      </c>
      <c r="N22" s="219">
        <f>N21+N11</f>
        <v>41.335999999999999</v>
      </c>
      <c r="O22" s="217">
        <f t="shared" si="44"/>
        <v>-0.11400707319687056</v>
      </c>
      <c r="P22" s="218">
        <f t="shared" si="45"/>
        <v>0.37073882477782183</v>
      </c>
      <c r="Q22" s="219"/>
      <c r="R22" s="217">
        <f t="shared" si="46"/>
        <v>-1</v>
      </c>
      <c r="S22" s="220">
        <f t="shared" si="47"/>
        <v>-1</v>
      </c>
      <c r="T22" s="216"/>
      <c r="U22" s="217">
        <f t="shared" si="48"/>
        <v>0</v>
      </c>
      <c r="V22" s="218">
        <f t="shared" si="49"/>
        <v>-1</v>
      </c>
      <c r="W22" s="219"/>
      <c r="X22" s="217">
        <f t="shared" si="50"/>
        <v>0</v>
      </c>
      <c r="Y22" s="218">
        <f t="shared" si="51"/>
        <v>-1</v>
      </c>
      <c r="Z22" s="219"/>
      <c r="AA22" s="217">
        <f t="shared" si="52"/>
        <v>0</v>
      </c>
      <c r="AB22" s="218">
        <f t="shared" si="53"/>
        <v>-1</v>
      </c>
      <c r="AC22" s="219"/>
      <c r="AD22" s="217">
        <f t="shared" si="54"/>
        <v>0</v>
      </c>
      <c r="AE22" s="220">
        <f t="shared" si="55"/>
        <v>0</v>
      </c>
    </row>
    <row r="23" spans="1:31" s="202" customFormat="1" ht="16.2" customHeight="1" thickBot="1" x14ac:dyDescent="0.45">
      <c r="A23" s="156">
        <f t="shared" si="6"/>
        <v>21</v>
      </c>
      <c r="B23" s="203" t="s">
        <v>80</v>
      </c>
      <c r="C23" s="203" t="s">
        <v>125</v>
      </c>
      <c r="D23" s="268">
        <v>0.5491926794894697</v>
      </c>
      <c r="E23" s="269">
        <v>0.55095362693859473</v>
      </c>
      <c r="F23" s="269">
        <v>0.50755714141448149</v>
      </c>
      <c r="G23" s="270">
        <v>0.53050292105630747</v>
      </c>
      <c r="H23" s="271">
        <f>H22/H$4</f>
        <v>0.54901248816671633</v>
      </c>
      <c r="I23" s="272"/>
      <c r="J23" s="273"/>
      <c r="K23" s="274">
        <f>K22/K$4</f>
        <v>0.56019163344700051</v>
      </c>
      <c r="L23" s="272"/>
      <c r="M23" s="273"/>
      <c r="N23" s="274">
        <f>N22/N$4</f>
        <v>0.49804209790715326</v>
      </c>
      <c r="O23" s="272"/>
      <c r="P23" s="273"/>
      <c r="Q23" s="274"/>
      <c r="R23" s="272"/>
      <c r="S23" s="275"/>
      <c r="T23" s="271"/>
      <c r="U23" s="272"/>
      <c r="V23" s="273"/>
      <c r="W23" s="274"/>
      <c r="X23" s="272"/>
      <c r="Y23" s="273"/>
      <c r="Z23" s="274"/>
      <c r="AA23" s="272"/>
      <c r="AB23" s="273"/>
      <c r="AC23" s="274"/>
      <c r="AD23" s="272"/>
      <c r="AE23" s="275"/>
    </row>
    <row r="24" spans="1:31" s="74" customFormat="1" ht="14.4" customHeight="1" x14ac:dyDescent="0.4">
      <c r="A24" s="158"/>
      <c r="B24" s="75"/>
      <c r="C24" s="817" t="s">
        <v>504</v>
      </c>
      <c r="D24" s="262"/>
      <c r="E24" s="262"/>
      <c r="F24" s="262"/>
      <c r="G24" s="262"/>
      <c r="H24" s="262"/>
      <c r="I24" s="276"/>
      <c r="J24" s="276"/>
      <c r="K24" s="262"/>
      <c r="L24" s="276"/>
      <c r="M24" s="276"/>
      <c r="N24" s="262"/>
      <c r="O24" s="276"/>
      <c r="P24" s="276"/>
      <c r="Q24" s="262"/>
      <c r="R24" s="276"/>
      <c r="S24" s="276"/>
      <c r="T24" s="262"/>
      <c r="U24" s="276"/>
      <c r="V24" s="276"/>
      <c r="W24" s="262"/>
      <c r="X24" s="276"/>
      <c r="Y24" s="276"/>
      <c r="Z24" s="262"/>
      <c r="AA24" s="276"/>
      <c r="AB24" s="276"/>
      <c r="AC24" s="262"/>
      <c r="AD24" s="276"/>
      <c r="AE24" s="276"/>
    </row>
    <row r="25" spans="1:31" s="45" customFormat="1" ht="13.8" thickBot="1" x14ac:dyDescent="0.45">
      <c r="A25" s="157"/>
      <c r="B25" s="43" t="s">
        <v>128</v>
      </c>
      <c r="C25" s="44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</row>
    <row r="26" spans="1:31" s="41" customFormat="1" ht="16.2" customHeight="1" x14ac:dyDescent="0.4">
      <c r="A26" s="156">
        <v>1</v>
      </c>
      <c r="B26" s="197" t="s">
        <v>212</v>
      </c>
      <c r="C26" s="198" t="s">
        <v>497</v>
      </c>
      <c r="D26" s="277" t="str">
        <f t="shared" ref="D26:P26" si="56">D3</f>
        <v>1Q24</v>
      </c>
      <c r="E26" s="278" t="str">
        <f t="shared" si="56"/>
        <v>2Q24</v>
      </c>
      <c r="F26" s="278" t="str">
        <f t="shared" si="56"/>
        <v>3Q24</v>
      </c>
      <c r="G26" s="278" t="str">
        <f t="shared" si="56"/>
        <v>4Q24</v>
      </c>
      <c r="H26" s="279" t="str">
        <f t="shared" si="56"/>
        <v>1Q25</v>
      </c>
      <c r="I26" s="280" t="str">
        <f t="shared" si="56"/>
        <v>QoQ</v>
      </c>
      <c r="J26" s="280" t="str">
        <f t="shared" si="56"/>
        <v>YoY</v>
      </c>
      <c r="K26" s="279" t="str">
        <f t="shared" si="56"/>
        <v>2Q25</v>
      </c>
      <c r="L26" s="280" t="str">
        <f t="shared" si="56"/>
        <v>QoQ</v>
      </c>
      <c r="M26" s="280" t="str">
        <f t="shared" si="56"/>
        <v>YoY</v>
      </c>
      <c r="N26" s="279" t="str">
        <f t="shared" si="56"/>
        <v>3Q25</v>
      </c>
      <c r="O26" s="280" t="str">
        <f t="shared" si="56"/>
        <v>QoQ</v>
      </c>
      <c r="P26" s="280" t="str">
        <f t="shared" si="56"/>
        <v>YoY</v>
      </c>
      <c r="Q26" s="281"/>
      <c r="R26" s="280" t="str">
        <f>R3</f>
        <v>QoQ</v>
      </c>
      <c r="S26" s="282" t="str">
        <f>S3</f>
        <v>YoY</v>
      </c>
      <c r="T26" s="279"/>
      <c r="U26" s="280" t="str">
        <f>U3</f>
        <v>QoQ</v>
      </c>
      <c r="V26" s="280" t="str">
        <f>V3</f>
        <v>YoY</v>
      </c>
      <c r="W26" s="281"/>
      <c r="X26" s="280" t="str">
        <f>X3</f>
        <v>QoQ</v>
      </c>
      <c r="Y26" s="280" t="str">
        <f>Y3</f>
        <v>YoY</v>
      </c>
      <c r="Z26" s="281"/>
      <c r="AA26" s="280" t="str">
        <f>AA3</f>
        <v>QoQ</v>
      </c>
      <c r="AB26" s="280" t="str">
        <f>AB3</f>
        <v>YoY</v>
      </c>
      <c r="AC26" s="281"/>
      <c r="AD26" s="280" t="str">
        <f>AD3</f>
        <v>QoQ</v>
      </c>
      <c r="AE26" s="282" t="str">
        <f>AE3</f>
        <v>YoY</v>
      </c>
    </row>
    <row r="27" spans="1:31" s="21" customFormat="1" ht="16.2" customHeight="1" x14ac:dyDescent="0.4">
      <c r="A27" s="156">
        <f>A26+1</f>
        <v>2</v>
      </c>
      <c r="B27" s="76" t="s">
        <v>320</v>
      </c>
      <c r="C27" s="76" t="s">
        <v>321</v>
      </c>
      <c r="D27" s="78">
        <f t="shared" ref="D27:H27" si="57">D28+D29</f>
        <v>22.195999999999998</v>
      </c>
      <c r="E27" s="79">
        <f t="shared" si="57"/>
        <v>30.898</v>
      </c>
      <c r="F27" s="79">
        <f t="shared" si="57"/>
        <v>32.734000000000002</v>
      </c>
      <c r="G27" s="80">
        <f t="shared" si="57"/>
        <v>38.063000000000002</v>
      </c>
      <c r="H27" s="81">
        <f t="shared" si="57"/>
        <v>35.067</v>
      </c>
      <c r="I27" s="283">
        <f t="shared" ref="I27:I40" si="58">H27/G27-1</f>
        <v>-7.8711609699708474E-2</v>
      </c>
      <c r="J27" s="284">
        <f t="shared" ref="J27:J40" si="59">H27/D27-1</f>
        <v>0.57987925752387826</v>
      </c>
      <c r="K27" s="82">
        <f t="shared" ref="K27" si="60">K28+K29</f>
        <v>45.49</v>
      </c>
      <c r="L27" s="283">
        <f t="shared" ref="L27:L40" si="61">IFERROR((K27-H27)/H27,)</f>
        <v>0.29723101491430692</v>
      </c>
      <c r="M27" s="284">
        <f t="shared" ref="M27:M40" si="62">IFERROR((K27-E27)/E27,)</f>
        <v>0.47226357693054577</v>
      </c>
      <c r="N27" s="82">
        <f t="shared" ref="N27" si="63">N28+N29</f>
        <v>42.947000000000003</v>
      </c>
      <c r="O27" s="283">
        <f t="shared" ref="O27:O40" si="64">IFERROR((N27-K27)/K27,)</f>
        <v>-5.5902396131017787E-2</v>
      </c>
      <c r="P27" s="284">
        <f t="shared" ref="P27:P40" si="65">IFERROR((N27-F27)/F27,)</f>
        <v>0.31199975560579213</v>
      </c>
      <c r="Q27" s="82"/>
      <c r="R27" s="283">
        <f t="shared" ref="R27:R40" si="66">IFERROR((Q27-N27)/N27,)</f>
        <v>-1</v>
      </c>
      <c r="S27" s="285">
        <f t="shared" ref="S27:S40" si="67">IFERROR((Q27-G27)/G27,)</f>
        <v>-1</v>
      </c>
      <c r="T27" s="81"/>
      <c r="U27" s="283">
        <f t="shared" ref="U27:U40" si="68">IFERROR((T27-Q27)/Q27,)</f>
        <v>0</v>
      </c>
      <c r="V27" s="284">
        <f t="shared" ref="V27:V40" si="69">IFERROR((T27-H27)/H27,)</f>
        <v>-1</v>
      </c>
      <c r="W27" s="82"/>
      <c r="X27" s="283">
        <f t="shared" ref="X27:X40" si="70">IFERROR((W27-T27)/T27,)</f>
        <v>0</v>
      </c>
      <c r="Y27" s="284">
        <f t="shared" ref="Y27:Y40" si="71">IFERROR((W27-K27)/K27,)</f>
        <v>-1</v>
      </c>
      <c r="Z27" s="82"/>
      <c r="AA27" s="283">
        <f t="shared" ref="AA27:AA40" si="72">IFERROR((Z27-W27)/W27,)</f>
        <v>0</v>
      </c>
      <c r="AB27" s="284">
        <f t="shared" ref="AB27:AB40" si="73">IFERROR((Z27-N27)/N27,)</f>
        <v>-1</v>
      </c>
      <c r="AC27" s="82"/>
      <c r="AD27" s="283">
        <f t="shared" ref="AD27:AD40" si="74">IFERROR((AC27-Z27)/Z27,)</f>
        <v>0</v>
      </c>
      <c r="AE27" s="285">
        <f t="shared" ref="AE27:AE40" si="75">IFERROR((AC27-Q27)/Q27,)</f>
        <v>0</v>
      </c>
    </row>
    <row r="28" spans="1:31" s="89" customFormat="1" ht="16.2" customHeight="1" x14ac:dyDescent="0.4">
      <c r="A28" s="156">
        <f t="shared" ref="A28:A41" si="76">A27+1</f>
        <v>3</v>
      </c>
      <c r="B28" s="83" t="s">
        <v>204</v>
      </c>
      <c r="C28" s="83" t="s">
        <v>406</v>
      </c>
      <c r="D28" s="286">
        <v>15.593</v>
      </c>
      <c r="E28" s="287">
        <v>24.245999999999999</v>
      </c>
      <c r="F28" s="287">
        <v>26.491</v>
      </c>
      <c r="G28" s="288">
        <v>28.559000000000001</v>
      </c>
      <c r="H28" s="289">
        <v>25.904</v>
      </c>
      <c r="I28" s="251">
        <f t="shared" si="58"/>
        <v>-9.2965439966385399E-2</v>
      </c>
      <c r="J28" s="252">
        <f t="shared" si="59"/>
        <v>0.66125825691015194</v>
      </c>
      <c r="K28" s="290">
        <v>32.86</v>
      </c>
      <c r="L28" s="251">
        <f t="shared" si="61"/>
        <v>0.26852995676343422</v>
      </c>
      <c r="M28" s="252">
        <f t="shared" si="62"/>
        <v>0.35527509692320386</v>
      </c>
      <c r="N28" s="290">
        <v>31.338000000000001</v>
      </c>
      <c r="O28" s="251">
        <f t="shared" si="64"/>
        <v>-4.6317711503347486E-2</v>
      </c>
      <c r="P28" s="252">
        <f t="shared" si="65"/>
        <v>0.18296780038503649</v>
      </c>
      <c r="Q28" s="290"/>
      <c r="R28" s="251">
        <f t="shared" si="66"/>
        <v>-1</v>
      </c>
      <c r="S28" s="253">
        <f t="shared" si="67"/>
        <v>-1</v>
      </c>
      <c r="T28" s="289"/>
      <c r="U28" s="251">
        <f t="shared" si="68"/>
        <v>0</v>
      </c>
      <c r="V28" s="252">
        <f t="shared" si="69"/>
        <v>-1</v>
      </c>
      <c r="W28" s="290"/>
      <c r="X28" s="251">
        <f t="shared" si="70"/>
        <v>0</v>
      </c>
      <c r="Y28" s="252">
        <f t="shared" si="71"/>
        <v>-1</v>
      </c>
      <c r="Z28" s="290"/>
      <c r="AA28" s="251">
        <f t="shared" si="72"/>
        <v>0</v>
      </c>
      <c r="AB28" s="252">
        <f t="shared" si="73"/>
        <v>-1</v>
      </c>
      <c r="AC28" s="290"/>
      <c r="AD28" s="251">
        <f t="shared" si="74"/>
        <v>0</v>
      </c>
      <c r="AE28" s="253">
        <f t="shared" si="75"/>
        <v>0</v>
      </c>
    </row>
    <row r="29" spans="1:31" s="89" customFormat="1" ht="16.2" customHeight="1" x14ac:dyDescent="0.4">
      <c r="A29" s="156">
        <f t="shared" si="76"/>
        <v>4</v>
      </c>
      <c r="B29" s="83" t="s">
        <v>205</v>
      </c>
      <c r="C29" s="83" t="s">
        <v>407</v>
      </c>
      <c r="D29" s="286">
        <v>6.6029999999999998</v>
      </c>
      <c r="E29" s="287">
        <v>6.6520000000000001</v>
      </c>
      <c r="F29" s="287">
        <v>6.2430000000000003</v>
      </c>
      <c r="G29" s="288">
        <v>9.5039999999999996</v>
      </c>
      <c r="H29" s="289">
        <v>9.1630000000000003</v>
      </c>
      <c r="I29" s="251">
        <f t="shared" si="58"/>
        <v>-3.5879629629629539E-2</v>
      </c>
      <c r="J29" s="252">
        <f t="shared" si="59"/>
        <v>0.38770255944267773</v>
      </c>
      <c r="K29" s="290">
        <v>12.63</v>
      </c>
      <c r="L29" s="251">
        <f t="shared" si="61"/>
        <v>0.3783695296300339</v>
      </c>
      <c r="M29" s="252">
        <f t="shared" si="62"/>
        <v>0.89867708959711368</v>
      </c>
      <c r="N29" s="290">
        <v>11.609</v>
      </c>
      <c r="O29" s="251">
        <f t="shared" si="64"/>
        <v>-8.0839271575613672E-2</v>
      </c>
      <c r="P29" s="252">
        <f t="shared" si="65"/>
        <v>0.85952266538523137</v>
      </c>
      <c r="Q29" s="290"/>
      <c r="R29" s="251">
        <f t="shared" si="66"/>
        <v>-1</v>
      </c>
      <c r="S29" s="253">
        <f t="shared" si="67"/>
        <v>-1</v>
      </c>
      <c r="T29" s="289"/>
      <c r="U29" s="251">
        <f t="shared" si="68"/>
        <v>0</v>
      </c>
      <c r="V29" s="252">
        <f t="shared" si="69"/>
        <v>-1</v>
      </c>
      <c r="W29" s="290"/>
      <c r="X29" s="251">
        <f t="shared" si="70"/>
        <v>0</v>
      </c>
      <c r="Y29" s="252">
        <f t="shared" si="71"/>
        <v>-1</v>
      </c>
      <c r="Z29" s="290"/>
      <c r="AA29" s="251">
        <f t="shared" si="72"/>
        <v>0</v>
      </c>
      <c r="AB29" s="252">
        <f t="shared" si="73"/>
        <v>-1</v>
      </c>
      <c r="AC29" s="290"/>
      <c r="AD29" s="251">
        <f t="shared" si="74"/>
        <v>0</v>
      </c>
      <c r="AE29" s="253">
        <f t="shared" si="75"/>
        <v>0</v>
      </c>
    </row>
    <row r="30" spans="1:31" s="21" customFormat="1" ht="16.2" customHeight="1" x14ac:dyDescent="0.4">
      <c r="A30" s="156">
        <f t="shared" si="76"/>
        <v>5</v>
      </c>
      <c r="B30" s="76" t="s">
        <v>206</v>
      </c>
      <c r="C30" s="76" t="s">
        <v>322</v>
      </c>
      <c r="D30" s="78">
        <f t="shared" ref="D30" si="77">D31+D32</f>
        <v>26.496000000000002</v>
      </c>
      <c r="E30" s="79">
        <f>E31+E32</f>
        <v>26.064999999999998</v>
      </c>
      <c r="F30" s="79">
        <f t="shared" ref="F30:H30" si="78">F31+F32</f>
        <v>26.009</v>
      </c>
      <c r="G30" s="80">
        <f t="shared" si="78"/>
        <v>34.737000000000002</v>
      </c>
      <c r="H30" s="81">
        <f t="shared" si="78"/>
        <v>40.986000000000004</v>
      </c>
      <c r="I30" s="283">
        <f t="shared" si="58"/>
        <v>0.1798946368425598</v>
      </c>
      <c r="J30" s="284">
        <f t="shared" si="59"/>
        <v>0.546875</v>
      </c>
      <c r="K30" s="82">
        <f t="shared" ref="K30" si="79">K31+K32</f>
        <v>35.207999999999998</v>
      </c>
      <c r="L30" s="283">
        <f t="shared" si="61"/>
        <v>-0.14097496706192372</v>
      </c>
      <c r="M30" s="284">
        <f t="shared" si="62"/>
        <v>0.35077690389411093</v>
      </c>
      <c r="N30" s="82">
        <f t="shared" ref="N30" si="80">N31+N32</f>
        <v>37.308999999999997</v>
      </c>
      <c r="O30" s="283">
        <f t="shared" si="64"/>
        <v>5.9673937741422378E-2</v>
      </c>
      <c r="P30" s="284">
        <f t="shared" si="65"/>
        <v>0.43446499288707746</v>
      </c>
      <c r="Q30" s="82"/>
      <c r="R30" s="283">
        <f t="shared" si="66"/>
        <v>-1</v>
      </c>
      <c r="S30" s="285">
        <f t="shared" si="67"/>
        <v>-1</v>
      </c>
      <c r="T30" s="81"/>
      <c r="U30" s="283">
        <f t="shared" si="68"/>
        <v>0</v>
      </c>
      <c r="V30" s="284">
        <f t="shared" si="69"/>
        <v>-1</v>
      </c>
      <c r="W30" s="82"/>
      <c r="X30" s="283">
        <f t="shared" si="70"/>
        <v>0</v>
      </c>
      <c r="Y30" s="284">
        <f t="shared" si="71"/>
        <v>-1</v>
      </c>
      <c r="Z30" s="82"/>
      <c r="AA30" s="283">
        <f t="shared" si="72"/>
        <v>0</v>
      </c>
      <c r="AB30" s="284">
        <f t="shared" si="73"/>
        <v>-1</v>
      </c>
      <c r="AC30" s="82"/>
      <c r="AD30" s="283">
        <f t="shared" si="74"/>
        <v>0</v>
      </c>
      <c r="AE30" s="285">
        <f t="shared" si="75"/>
        <v>0</v>
      </c>
    </row>
    <row r="31" spans="1:31" s="89" customFormat="1" ht="16.2" customHeight="1" x14ac:dyDescent="0.4">
      <c r="A31" s="156">
        <f t="shared" si="76"/>
        <v>6</v>
      </c>
      <c r="B31" s="83" t="s">
        <v>204</v>
      </c>
      <c r="C31" s="83" t="s">
        <v>406</v>
      </c>
      <c r="D31" s="286">
        <v>17.358000000000001</v>
      </c>
      <c r="E31" s="287">
        <v>15.478</v>
      </c>
      <c r="F31" s="287">
        <v>13.577</v>
      </c>
      <c r="G31" s="288">
        <v>20.556000000000001</v>
      </c>
      <c r="H31" s="289">
        <v>26.067</v>
      </c>
      <c r="I31" s="251">
        <f t="shared" si="58"/>
        <v>0.26809690601284286</v>
      </c>
      <c r="J31" s="252">
        <f t="shared" si="59"/>
        <v>0.50172830971310045</v>
      </c>
      <c r="K31" s="290">
        <v>20.126999999999999</v>
      </c>
      <c r="L31" s="251">
        <f t="shared" si="61"/>
        <v>-0.22787432385775122</v>
      </c>
      <c r="M31" s="252">
        <f t="shared" si="62"/>
        <v>0.30036180385062666</v>
      </c>
      <c r="N31" s="290">
        <v>21.539000000000001</v>
      </c>
      <c r="O31" s="251">
        <f t="shared" si="64"/>
        <v>7.0154518805584667E-2</v>
      </c>
      <c r="P31" s="252">
        <f t="shared" si="65"/>
        <v>0.58643293805700825</v>
      </c>
      <c r="Q31" s="290"/>
      <c r="R31" s="251">
        <f t="shared" si="66"/>
        <v>-1</v>
      </c>
      <c r="S31" s="253">
        <f t="shared" si="67"/>
        <v>-1</v>
      </c>
      <c r="T31" s="289"/>
      <c r="U31" s="251">
        <f t="shared" si="68"/>
        <v>0</v>
      </c>
      <c r="V31" s="252">
        <f t="shared" si="69"/>
        <v>-1</v>
      </c>
      <c r="W31" s="290"/>
      <c r="X31" s="251">
        <f t="shared" si="70"/>
        <v>0</v>
      </c>
      <c r="Y31" s="252">
        <f t="shared" si="71"/>
        <v>-1</v>
      </c>
      <c r="Z31" s="290"/>
      <c r="AA31" s="251">
        <f t="shared" si="72"/>
        <v>0</v>
      </c>
      <c r="AB31" s="252">
        <f t="shared" si="73"/>
        <v>-1</v>
      </c>
      <c r="AC31" s="290"/>
      <c r="AD31" s="251">
        <f t="shared" si="74"/>
        <v>0</v>
      </c>
      <c r="AE31" s="253">
        <f t="shared" si="75"/>
        <v>0</v>
      </c>
    </row>
    <row r="32" spans="1:31" s="89" customFormat="1" ht="16.2" customHeight="1" x14ac:dyDescent="0.4">
      <c r="A32" s="156">
        <f t="shared" si="76"/>
        <v>7</v>
      </c>
      <c r="B32" s="83" t="s">
        <v>205</v>
      </c>
      <c r="C32" s="84" t="s">
        <v>407</v>
      </c>
      <c r="D32" s="286">
        <v>9.1379999999999999</v>
      </c>
      <c r="E32" s="287">
        <v>10.587</v>
      </c>
      <c r="F32" s="287">
        <v>12.432</v>
      </c>
      <c r="G32" s="288">
        <v>14.180999999999999</v>
      </c>
      <c r="H32" s="289">
        <v>14.919</v>
      </c>
      <c r="I32" s="251">
        <f t="shared" si="58"/>
        <v>5.2041463930611487E-2</v>
      </c>
      <c r="J32" s="252">
        <f t="shared" si="59"/>
        <v>0.63263296126066981</v>
      </c>
      <c r="K32" s="290">
        <v>15.081</v>
      </c>
      <c r="L32" s="251">
        <f t="shared" si="61"/>
        <v>1.0858636637844294E-2</v>
      </c>
      <c r="M32" s="252">
        <f t="shared" si="62"/>
        <v>0.42448285633323884</v>
      </c>
      <c r="N32" s="290">
        <v>15.77</v>
      </c>
      <c r="O32" s="251">
        <f t="shared" si="64"/>
        <v>4.568662555533453E-2</v>
      </c>
      <c r="P32" s="252">
        <f t="shared" si="65"/>
        <v>0.26850064350064345</v>
      </c>
      <c r="Q32" s="290"/>
      <c r="R32" s="251">
        <f t="shared" si="66"/>
        <v>-1</v>
      </c>
      <c r="S32" s="253">
        <f t="shared" si="67"/>
        <v>-1</v>
      </c>
      <c r="T32" s="289"/>
      <c r="U32" s="251">
        <f t="shared" si="68"/>
        <v>0</v>
      </c>
      <c r="V32" s="252">
        <f t="shared" si="69"/>
        <v>-1</v>
      </c>
      <c r="W32" s="290"/>
      <c r="X32" s="251">
        <f t="shared" si="70"/>
        <v>0</v>
      </c>
      <c r="Y32" s="252">
        <f t="shared" si="71"/>
        <v>-1</v>
      </c>
      <c r="Z32" s="290"/>
      <c r="AA32" s="251">
        <f t="shared" si="72"/>
        <v>0</v>
      </c>
      <c r="AB32" s="252">
        <f t="shared" si="73"/>
        <v>-1</v>
      </c>
      <c r="AC32" s="290"/>
      <c r="AD32" s="251">
        <f t="shared" si="74"/>
        <v>0</v>
      </c>
      <c r="AE32" s="253">
        <f t="shared" si="75"/>
        <v>0</v>
      </c>
    </row>
    <row r="33" spans="1:38" s="21" customFormat="1" ht="13.2" x14ac:dyDescent="0.4">
      <c r="A33" s="156">
        <f t="shared" si="76"/>
        <v>8</v>
      </c>
      <c r="B33" s="76" t="s">
        <v>445</v>
      </c>
      <c r="C33" s="77" t="s">
        <v>446</v>
      </c>
      <c r="D33" s="78">
        <f t="shared" ref="D33" si="81">D34+D35</f>
        <v>1.395</v>
      </c>
      <c r="E33" s="79">
        <f>E34+E35</f>
        <v>1.514</v>
      </c>
      <c r="F33" s="79">
        <f t="shared" ref="F33:H33" si="82">F34+F35</f>
        <v>0.43300000000000005</v>
      </c>
      <c r="G33" s="80">
        <f t="shared" si="82"/>
        <v>1.3839999999999999</v>
      </c>
      <c r="H33" s="81">
        <f t="shared" si="82"/>
        <v>0.82400000000000007</v>
      </c>
      <c r="I33" s="283">
        <f t="shared" si="58"/>
        <v>-0.40462427745664731</v>
      </c>
      <c r="J33" s="284">
        <f t="shared" si="59"/>
        <v>-0.40931899641577052</v>
      </c>
      <c r="K33" s="82">
        <f t="shared" ref="K33" si="83">K34+K35</f>
        <v>2.3759999999999999</v>
      </c>
      <c r="L33" s="283">
        <f t="shared" si="61"/>
        <v>1.8834951456310676</v>
      </c>
      <c r="M33" s="284">
        <f t="shared" si="62"/>
        <v>0.5693527080581241</v>
      </c>
      <c r="N33" s="82">
        <f t="shared" ref="N33" si="84">N34+N35</f>
        <v>2.5009999999999999</v>
      </c>
      <c r="O33" s="283">
        <f t="shared" si="64"/>
        <v>5.2609427609427613E-2</v>
      </c>
      <c r="P33" s="284">
        <f t="shared" si="65"/>
        <v>4.7759815242494215</v>
      </c>
      <c r="Q33" s="82"/>
      <c r="R33" s="283">
        <f t="shared" si="66"/>
        <v>-1</v>
      </c>
      <c r="S33" s="285">
        <f t="shared" si="67"/>
        <v>-1</v>
      </c>
      <c r="T33" s="81"/>
      <c r="U33" s="283">
        <f t="shared" si="68"/>
        <v>0</v>
      </c>
      <c r="V33" s="284">
        <f t="shared" si="69"/>
        <v>-1</v>
      </c>
      <c r="W33" s="82"/>
      <c r="X33" s="283">
        <f t="shared" si="70"/>
        <v>0</v>
      </c>
      <c r="Y33" s="284">
        <f t="shared" si="71"/>
        <v>-1</v>
      </c>
      <c r="Z33" s="82"/>
      <c r="AA33" s="283">
        <f t="shared" si="72"/>
        <v>0</v>
      </c>
      <c r="AB33" s="284">
        <f t="shared" si="73"/>
        <v>-1</v>
      </c>
      <c r="AC33" s="82"/>
      <c r="AD33" s="283">
        <f t="shared" si="74"/>
        <v>0</v>
      </c>
      <c r="AE33" s="285">
        <f t="shared" si="75"/>
        <v>0</v>
      </c>
    </row>
    <row r="34" spans="1:38" s="89" customFormat="1" ht="16.2" customHeight="1" x14ac:dyDescent="0.4">
      <c r="A34" s="156">
        <f t="shared" si="76"/>
        <v>9</v>
      </c>
      <c r="B34" s="83" t="s">
        <v>204</v>
      </c>
      <c r="C34" s="84" t="s">
        <v>406</v>
      </c>
      <c r="D34" s="286">
        <v>0.69899999999999995</v>
      </c>
      <c r="E34" s="287">
        <v>0.59499999999999997</v>
      </c>
      <c r="F34" s="287">
        <v>0.156</v>
      </c>
      <c r="G34" s="288">
        <v>0.26900000000000002</v>
      </c>
      <c r="H34" s="289">
        <v>0.56200000000000006</v>
      </c>
      <c r="I34" s="251">
        <f t="shared" si="58"/>
        <v>1.0892193308550189</v>
      </c>
      <c r="J34" s="252">
        <f t="shared" si="59"/>
        <v>-0.19599427753934173</v>
      </c>
      <c r="K34" s="290">
        <v>0.40899999999999997</v>
      </c>
      <c r="L34" s="251">
        <f t="shared" si="61"/>
        <v>-0.2722419928825624</v>
      </c>
      <c r="M34" s="252">
        <f t="shared" si="62"/>
        <v>-0.31260504201680672</v>
      </c>
      <c r="N34" s="290">
        <v>0.11700000000000001</v>
      </c>
      <c r="O34" s="251">
        <f t="shared" si="64"/>
        <v>-0.71393643031784837</v>
      </c>
      <c r="P34" s="252">
        <f t="shared" si="65"/>
        <v>-0.24999999999999994</v>
      </c>
      <c r="Q34" s="290"/>
      <c r="R34" s="251">
        <f t="shared" si="66"/>
        <v>-1</v>
      </c>
      <c r="S34" s="253">
        <f t="shared" si="67"/>
        <v>-1</v>
      </c>
      <c r="T34" s="289"/>
      <c r="U34" s="251">
        <f t="shared" si="68"/>
        <v>0</v>
      </c>
      <c r="V34" s="252">
        <f t="shared" si="69"/>
        <v>-1</v>
      </c>
      <c r="W34" s="290"/>
      <c r="X34" s="251">
        <f t="shared" si="70"/>
        <v>0</v>
      </c>
      <c r="Y34" s="252">
        <f t="shared" si="71"/>
        <v>-1</v>
      </c>
      <c r="Z34" s="290"/>
      <c r="AA34" s="251">
        <f t="shared" si="72"/>
        <v>0</v>
      </c>
      <c r="AB34" s="252">
        <f t="shared" si="73"/>
        <v>-1</v>
      </c>
      <c r="AC34" s="290"/>
      <c r="AD34" s="251">
        <f t="shared" si="74"/>
        <v>0</v>
      </c>
      <c r="AE34" s="253">
        <f t="shared" si="75"/>
        <v>0</v>
      </c>
      <c r="AI34" s="849"/>
    </row>
    <row r="35" spans="1:38" s="89" customFormat="1" ht="16.2" customHeight="1" x14ac:dyDescent="0.4">
      <c r="A35" s="156">
        <f t="shared" si="76"/>
        <v>10</v>
      </c>
      <c r="B35" s="83" t="s">
        <v>205</v>
      </c>
      <c r="C35" s="84" t="s">
        <v>407</v>
      </c>
      <c r="D35" s="286">
        <v>0.69599999999999995</v>
      </c>
      <c r="E35" s="287">
        <v>0.91900000000000004</v>
      </c>
      <c r="F35" s="287">
        <v>0.27700000000000002</v>
      </c>
      <c r="G35" s="288">
        <v>1.115</v>
      </c>
      <c r="H35" s="289">
        <v>0.26200000000000001</v>
      </c>
      <c r="I35" s="251">
        <f t="shared" si="58"/>
        <v>-0.76502242152466371</v>
      </c>
      <c r="J35" s="252">
        <f t="shared" si="59"/>
        <v>-0.62356321839080453</v>
      </c>
      <c r="K35" s="290">
        <v>1.9670000000000001</v>
      </c>
      <c r="L35" s="251">
        <f t="shared" si="61"/>
        <v>6.5076335877862599</v>
      </c>
      <c r="M35" s="252">
        <f t="shared" si="62"/>
        <v>1.1403699673558216</v>
      </c>
      <c r="N35" s="290">
        <v>2.3839999999999999</v>
      </c>
      <c r="O35" s="251">
        <f t="shared" si="64"/>
        <v>0.21199796644636493</v>
      </c>
      <c r="P35" s="252">
        <f t="shared" si="65"/>
        <v>7.6064981949458472</v>
      </c>
      <c r="Q35" s="290"/>
      <c r="R35" s="251">
        <f t="shared" si="66"/>
        <v>-1</v>
      </c>
      <c r="S35" s="253">
        <f t="shared" si="67"/>
        <v>-1</v>
      </c>
      <c r="T35" s="289"/>
      <c r="U35" s="251">
        <f t="shared" si="68"/>
        <v>0</v>
      </c>
      <c r="V35" s="252">
        <f t="shared" si="69"/>
        <v>-1</v>
      </c>
      <c r="W35" s="290"/>
      <c r="X35" s="251">
        <f t="shared" si="70"/>
        <v>0</v>
      </c>
      <c r="Y35" s="252">
        <f t="shared" si="71"/>
        <v>-1</v>
      </c>
      <c r="Z35" s="290"/>
      <c r="AA35" s="251">
        <f t="shared" si="72"/>
        <v>0</v>
      </c>
      <c r="AB35" s="252">
        <f t="shared" si="73"/>
        <v>-1</v>
      </c>
      <c r="AC35" s="290"/>
      <c r="AD35" s="251">
        <f t="shared" si="74"/>
        <v>0</v>
      </c>
      <c r="AE35" s="253">
        <f t="shared" si="75"/>
        <v>0</v>
      </c>
    </row>
    <row r="36" spans="1:38" s="21" customFormat="1" ht="16.2" customHeight="1" x14ac:dyDescent="0.4">
      <c r="A36" s="156">
        <f t="shared" si="76"/>
        <v>11</v>
      </c>
      <c r="B36" s="76" t="s">
        <v>273</v>
      </c>
      <c r="C36" s="77" t="s">
        <v>187</v>
      </c>
      <c r="D36" s="78">
        <v>0.29199999999999998</v>
      </c>
      <c r="E36" s="79">
        <v>0.26400000000000001</v>
      </c>
      <c r="F36" s="79">
        <v>0.23599999999999999</v>
      </c>
      <c r="G36" s="80">
        <v>0.21976699999999999</v>
      </c>
      <c r="H36" s="81">
        <v>0.23599999999999999</v>
      </c>
      <c r="I36" s="283">
        <f t="shared" si="58"/>
        <v>7.3864592955266151E-2</v>
      </c>
      <c r="J36" s="284">
        <f t="shared" si="59"/>
        <v>-0.19178082191780821</v>
      </c>
      <c r="K36" s="82">
        <v>0.21</v>
      </c>
      <c r="L36" s="283">
        <f t="shared" si="61"/>
        <v>-0.11016949152542371</v>
      </c>
      <c r="M36" s="284">
        <f t="shared" si="62"/>
        <v>-0.20454545454545461</v>
      </c>
      <c r="N36" s="82">
        <v>0.24399999999999999</v>
      </c>
      <c r="O36" s="283">
        <f t="shared" si="64"/>
        <v>0.16190476190476191</v>
      </c>
      <c r="P36" s="284">
        <f t="shared" si="65"/>
        <v>3.3898305084745797E-2</v>
      </c>
      <c r="Q36" s="82"/>
      <c r="R36" s="283">
        <f t="shared" si="66"/>
        <v>-1</v>
      </c>
      <c r="S36" s="285">
        <f t="shared" si="67"/>
        <v>-1</v>
      </c>
      <c r="T36" s="81"/>
      <c r="U36" s="283">
        <f t="shared" si="68"/>
        <v>0</v>
      </c>
      <c r="V36" s="284">
        <f t="shared" si="69"/>
        <v>-1</v>
      </c>
      <c r="W36" s="82"/>
      <c r="X36" s="283">
        <f t="shared" si="70"/>
        <v>0</v>
      </c>
      <c r="Y36" s="284">
        <f t="shared" si="71"/>
        <v>-1</v>
      </c>
      <c r="Z36" s="82"/>
      <c r="AA36" s="283">
        <f t="shared" si="72"/>
        <v>0</v>
      </c>
      <c r="AB36" s="284">
        <f t="shared" si="73"/>
        <v>-1</v>
      </c>
      <c r="AC36" s="82"/>
      <c r="AD36" s="283">
        <f t="shared" si="74"/>
        <v>0</v>
      </c>
      <c r="AE36" s="285">
        <f t="shared" si="75"/>
        <v>0</v>
      </c>
    </row>
    <row r="37" spans="1:38" s="50" customFormat="1" ht="16.2" customHeight="1" x14ac:dyDescent="0.4">
      <c r="A37" s="156">
        <f t="shared" si="76"/>
        <v>12</v>
      </c>
      <c r="B37" s="90" t="s">
        <v>207</v>
      </c>
      <c r="C37" s="91" t="s">
        <v>7</v>
      </c>
      <c r="D37" s="291">
        <f>D38+D39</f>
        <v>50.379000000000005</v>
      </c>
      <c r="E37" s="292">
        <f t="shared" ref="E37:H37" si="85">E38+E39</f>
        <v>58.741</v>
      </c>
      <c r="F37" s="292">
        <f t="shared" si="85"/>
        <v>59.411999999999999</v>
      </c>
      <c r="G37" s="293">
        <f t="shared" si="85"/>
        <v>74.403767000000002</v>
      </c>
      <c r="H37" s="294">
        <f t="shared" si="85"/>
        <v>77.113</v>
      </c>
      <c r="I37" s="295">
        <f t="shared" si="58"/>
        <v>3.6412578411520347E-2</v>
      </c>
      <c r="J37" s="296">
        <f t="shared" si="59"/>
        <v>0.53065761527620614</v>
      </c>
      <c r="K37" s="297">
        <f t="shared" ref="K37" si="86">K38+K39</f>
        <v>83.283999999999992</v>
      </c>
      <c r="L37" s="295">
        <f t="shared" si="61"/>
        <v>8.0025417244822428E-2</v>
      </c>
      <c r="M37" s="296">
        <f t="shared" si="62"/>
        <v>0.41781719752813185</v>
      </c>
      <c r="N37" s="297">
        <f t="shared" ref="N37" si="87">N38+N39</f>
        <v>83.001000000000005</v>
      </c>
      <c r="O37" s="295">
        <f t="shared" si="64"/>
        <v>-3.3980116228805902E-3</v>
      </c>
      <c r="P37" s="296">
        <f t="shared" si="65"/>
        <v>0.39704100181781471</v>
      </c>
      <c r="Q37" s="297"/>
      <c r="R37" s="295">
        <f t="shared" si="66"/>
        <v>-1</v>
      </c>
      <c r="S37" s="298">
        <f t="shared" si="67"/>
        <v>-1</v>
      </c>
      <c r="T37" s="294"/>
      <c r="U37" s="295">
        <f t="shared" si="68"/>
        <v>0</v>
      </c>
      <c r="V37" s="296">
        <f t="shared" si="69"/>
        <v>-1</v>
      </c>
      <c r="W37" s="297"/>
      <c r="X37" s="295">
        <f t="shared" si="70"/>
        <v>0</v>
      </c>
      <c r="Y37" s="296">
        <f t="shared" si="71"/>
        <v>-1</v>
      </c>
      <c r="Z37" s="297"/>
      <c r="AA37" s="295">
        <f t="shared" si="72"/>
        <v>0</v>
      </c>
      <c r="AB37" s="296">
        <f t="shared" si="73"/>
        <v>-1</v>
      </c>
      <c r="AC37" s="297"/>
      <c r="AD37" s="295">
        <f t="shared" si="74"/>
        <v>0</v>
      </c>
      <c r="AE37" s="298">
        <f t="shared" si="75"/>
        <v>0</v>
      </c>
    </row>
    <row r="38" spans="1:38" s="89" customFormat="1" ht="16.2" customHeight="1" x14ac:dyDescent="0.4">
      <c r="A38" s="156">
        <f t="shared" si="76"/>
        <v>13</v>
      </c>
      <c r="B38" s="83" t="s">
        <v>204</v>
      </c>
      <c r="C38" s="84" t="s">
        <v>406</v>
      </c>
      <c r="D38" s="286">
        <f>D28+D31+D34</f>
        <v>33.65</v>
      </c>
      <c r="E38" s="287">
        <f t="shared" ref="E38:H38" si="88">E28+E31+E34</f>
        <v>40.318999999999996</v>
      </c>
      <c r="F38" s="287">
        <f t="shared" si="88"/>
        <v>40.223999999999997</v>
      </c>
      <c r="G38" s="288">
        <f t="shared" si="88"/>
        <v>49.384</v>
      </c>
      <c r="H38" s="289">
        <f t="shared" si="88"/>
        <v>52.533000000000001</v>
      </c>
      <c r="I38" s="251">
        <f t="shared" si="58"/>
        <v>6.3765592094605639E-2</v>
      </c>
      <c r="J38" s="252">
        <f t="shared" si="59"/>
        <v>0.56115898959881139</v>
      </c>
      <c r="K38" s="290">
        <f t="shared" ref="K38" si="89">K28+K31+K34</f>
        <v>53.395999999999994</v>
      </c>
      <c r="L38" s="251">
        <f t="shared" si="61"/>
        <v>1.6427769211733431E-2</v>
      </c>
      <c r="M38" s="252">
        <f t="shared" si="62"/>
        <v>0.32433840125003099</v>
      </c>
      <c r="N38" s="290">
        <f t="shared" ref="N38" si="90">N28+N31+N34</f>
        <v>52.994</v>
      </c>
      <c r="O38" s="251">
        <f t="shared" si="64"/>
        <v>-7.5286538317475837E-3</v>
      </c>
      <c r="P38" s="252">
        <f t="shared" si="65"/>
        <v>0.31747215592681</v>
      </c>
      <c r="Q38" s="290"/>
      <c r="R38" s="251">
        <f t="shared" si="66"/>
        <v>-1</v>
      </c>
      <c r="S38" s="253">
        <f t="shared" si="67"/>
        <v>-1</v>
      </c>
      <c r="T38" s="289"/>
      <c r="U38" s="251">
        <f t="shared" si="68"/>
        <v>0</v>
      </c>
      <c r="V38" s="252">
        <f t="shared" si="69"/>
        <v>-1</v>
      </c>
      <c r="W38" s="290"/>
      <c r="X38" s="251">
        <f t="shared" si="70"/>
        <v>0</v>
      </c>
      <c r="Y38" s="252">
        <f t="shared" si="71"/>
        <v>-1</v>
      </c>
      <c r="Z38" s="290"/>
      <c r="AA38" s="251">
        <f t="shared" si="72"/>
        <v>0</v>
      </c>
      <c r="AB38" s="252">
        <f t="shared" si="73"/>
        <v>-1</v>
      </c>
      <c r="AC38" s="290"/>
      <c r="AD38" s="251">
        <f t="shared" si="74"/>
        <v>0</v>
      </c>
      <c r="AE38" s="253">
        <f t="shared" si="75"/>
        <v>0</v>
      </c>
      <c r="AG38" s="50"/>
      <c r="AH38" s="50"/>
      <c r="AI38" s="50"/>
      <c r="AJ38" s="50"/>
      <c r="AK38" s="50"/>
      <c r="AL38" s="50"/>
    </row>
    <row r="39" spans="1:38" ht="16.2" customHeight="1" thickBot="1" x14ac:dyDescent="0.45">
      <c r="A39" s="156">
        <f t="shared" si="76"/>
        <v>14</v>
      </c>
      <c r="B39" s="83" t="s">
        <v>205</v>
      </c>
      <c r="C39" s="84" t="s">
        <v>407</v>
      </c>
      <c r="D39" s="299">
        <f>D29+D32+D35+D36</f>
        <v>16.729000000000003</v>
      </c>
      <c r="E39" s="300">
        <f t="shared" ref="E39:H39" si="91">E29+E32+E35+E36</f>
        <v>18.422000000000001</v>
      </c>
      <c r="F39" s="300">
        <f t="shared" si="91"/>
        <v>19.188000000000002</v>
      </c>
      <c r="G39" s="301">
        <f t="shared" si="91"/>
        <v>25.019766999999998</v>
      </c>
      <c r="H39" s="302">
        <f t="shared" si="91"/>
        <v>24.580000000000002</v>
      </c>
      <c r="I39" s="303">
        <f t="shared" si="58"/>
        <v>-1.7576782389699952E-2</v>
      </c>
      <c r="J39" s="304">
        <f t="shared" si="59"/>
        <v>0.46930480004782105</v>
      </c>
      <c r="K39" s="305">
        <f t="shared" ref="K39" si="92">K29+K32+K35+K36</f>
        <v>29.887999999999998</v>
      </c>
      <c r="L39" s="303">
        <f t="shared" si="61"/>
        <v>0.21594792514239203</v>
      </c>
      <c r="M39" s="304">
        <f t="shared" si="62"/>
        <v>0.62240799044620543</v>
      </c>
      <c r="N39" s="305">
        <f t="shared" ref="N39" si="93">N29+N32+N35+N36</f>
        <v>30.006999999999998</v>
      </c>
      <c r="O39" s="303">
        <f t="shared" si="64"/>
        <v>3.9815310492505281E-3</v>
      </c>
      <c r="P39" s="304">
        <f t="shared" si="65"/>
        <v>0.56384198457369161</v>
      </c>
      <c r="Q39" s="305"/>
      <c r="R39" s="303">
        <f t="shared" si="66"/>
        <v>-1</v>
      </c>
      <c r="S39" s="306">
        <f t="shared" si="67"/>
        <v>-1</v>
      </c>
      <c r="T39" s="302"/>
      <c r="U39" s="303">
        <f t="shared" si="68"/>
        <v>0</v>
      </c>
      <c r="V39" s="304">
        <f t="shared" si="69"/>
        <v>-1</v>
      </c>
      <c r="W39" s="305"/>
      <c r="X39" s="303">
        <f t="shared" si="70"/>
        <v>0</v>
      </c>
      <c r="Y39" s="304">
        <f t="shared" si="71"/>
        <v>-1</v>
      </c>
      <c r="Z39" s="305"/>
      <c r="AA39" s="303">
        <f t="shared" si="72"/>
        <v>0</v>
      </c>
      <c r="AB39" s="304">
        <f t="shared" si="73"/>
        <v>-1</v>
      </c>
      <c r="AC39" s="305"/>
      <c r="AD39" s="303">
        <f t="shared" si="74"/>
        <v>0</v>
      </c>
      <c r="AE39" s="306">
        <f t="shared" si="75"/>
        <v>0</v>
      </c>
      <c r="AG39" s="50"/>
      <c r="AH39" s="50"/>
      <c r="AI39" s="50"/>
      <c r="AJ39" s="50"/>
      <c r="AK39" s="50"/>
      <c r="AL39" s="50"/>
    </row>
    <row r="40" spans="1:38" ht="16.2" customHeight="1" thickBot="1" x14ac:dyDescent="0.45">
      <c r="A40" s="156">
        <f t="shared" si="76"/>
        <v>15</v>
      </c>
      <c r="B40" s="145" t="s">
        <v>208</v>
      </c>
      <c r="C40" s="146" t="s">
        <v>8</v>
      </c>
      <c r="D40" s="307">
        <v>11.423</v>
      </c>
      <c r="E40" s="308">
        <v>11.747999999999999</v>
      </c>
      <c r="F40" s="308">
        <v>13.792999999999999</v>
      </c>
      <c r="G40" s="309">
        <v>9.9740000000000002</v>
      </c>
      <c r="H40" s="310">
        <v>11.808999999999999</v>
      </c>
      <c r="I40" s="311">
        <f t="shared" si="58"/>
        <v>0.18397834369360333</v>
      </c>
      <c r="J40" s="312">
        <f t="shared" si="59"/>
        <v>3.3791473343254719E-2</v>
      </c>
      <c r="K40" s="313">
        <v>4.5469999999999997</v>
      </c>
      <c r="L40" s="311">
        <f t="shared" si="61"/>
        <v>-0.61495469557117455</v>
      </c>
      <c r="M40" s="312">
        <f t="shared" si="62"/>
        <v>-0.61295539666326182</v>
      </c>
      <c r="N40" s="909" t="s">
        <v>444</v>
      </c>
      <c r="O40" s="311">
        <f t="shared" si="64"/>
        <v>0</v>
      </c>
      <c r="P40" s="312">
        <f t="shared" si="65"/>
        <v>0</v>
      </c>
      <c r="Q40" s="313"/>
      <c r="R40" s="311">
        <f t="shared" si="66"/>
        <v>0</v>
      </c>
      <c r="S40" s="314">
        <f t="shared" si="67"/>
        <v>-1</v>
      </c>
      <c r="T40" s="310"/>
      <c r="U40" s="311">
        <f t="shared" si="68"/>
        <v>0</v>
      </c>
      <c r="V40" s="312">
        <f t="shared" si="69"/>
        <v>-1</v>
      </c>
      <c r="W40" s="313"/>
      <c r="X40" s="311">
        <f t="shared" si="70"/>
        <v>0</v>
      </c>
      <c r="Y40" s="312">
        <f t="shared" si="71"/>
        <v>-1</v>
      </c>
      <c r="Z40" s="313"/>
      <c r="AA40" s="311">
        <f t="shared" si="72"/>
        <v>0</v>
      </c>
      <c r="AB40" s="312">
        <f t="shared" si="73"/>
        <v>0</v>
      </c>
      <c r="AC40" s="313"/>
      <c r="AD40" s="311">
        <f t="shared" si="74"/>
        <v>0</v>
      </c>
      <c r="AE40" s="314">
        <f t="shared" si="75"/>
        <v>0</v>
      </c>
      <c r="AG40" s="50"/>
      <c r="AH40" s="50"/>
      <c r="AI40" s="50"/>
      <c r="AJ40" s="50"/>
      <c r="AK40" s="50"/>
      <c r="AL40" s="50"/>
    </row>
    <row r="41" spans="1:38" ht="16.2" customHeight="1" thickBot="1" x14ac:dyDescent="0.45">
      <c r="A41" s="156">
        <f t="shared" si="76"/>
        <v>16</v>
      </c>
      <c r="B41" s="145" t="s">
        <v>232</v>
      </c>
      <c r="C41" s="146" t="s">
        <v>216</v>
      </c>
      <c r="D41" s="307">
        <v>1328.4491803278688</v>
      </c>
      <c r="E41" s="308">
        <v>1370.9</v>
      </c>
      <c r="F41" s="308">
        <v>1359.38</v>
      </c>
      <c r="G41" s="309">
        <v>1396.8</v>
      </c>
      <c r="H41" s="310">
        <v>1452.66</v>
      </c>
      <c r="I41" s="311"/>
      <c r="J41" s="312"/>
      <c r="K41" s="313">
        <v>1404.04</v>
      </c>
      <c r="L41" s="311"/>
      <c r="M41" s="312"/>
      <c r="N41" s="313">
        <v>1385.2846153846153</v>
      </c>
      <c r="O41" s="311"/>
      <c r="P41" s="312"/>
      <c r="Q41" s="313"/>
      <c r="R41" s="311"/>
      <c r="S41" s="314"/>
      <c r="T41" s="310"/>
      <c r="U41" s="311"/>
      <c r="V41" s="312"/>
      <c r="W41" s="313"/>
      <c r="X41" s="311"/>
      <c r="Y41" s="312"/>
      <c r="Z41" s="313"/>
      <c r="AA41" s="311"/>
      <c r="AB41" s="312"/>
      <c r="AC41" s="313"/>
      <c r="AD41" s="311"/>
      <c r="AE41" s="314"/>
      <c r="AG41" s="50"/>
      <c r="AH41" s="50"/>
      <c r="AI41" s="50"/>
      <c r="AJ41" s="50"/>
      <c r="AK41" s="50"/>
      <c r="AL41" s="50"/>
    </row>
    <row r="42" spans="1:38" s="42" customFormat="1" ht="16.2" customHeight="1" x14ac:dyDescent="0.4">
      <c r="A42" s="156"/>
      <c r="B42" s="150" t="s">
        <v>233</v>
      </c>
      <c r="C42" s="94"/>
      <c r="D42" s="315" t="b">
        <f>ROUND(D37,1)=ROUND(D4,1)</f>
        <v>1</v>
      </c>
      <c r="E42" s="315" t="b">
        <f>ROUND(E37,1)=ROUND(E4,1)</f>
        <v>1</v>
      </c>
      <c r="F42" s="315" t="b">
        <f>ROUND(F37,1)=ROUND(F4,1)</f>
        <v>1</v>
      </c>
      <c r="G42" s="315" t="b">
        <f>ROUND(G37,1)=ROUND(G4,1)</f>
        <v>1</v>
      </c>
      <c r="H42" s="315" t="b">
        <f>ROUND(H37,1)=ROUND(H4,1)</f>
        <v>1</v>
      </c>
      <c r="I42" s="316"/>
      <c r="J42" s="316"/>
      <c r="K42" s="315" t="b">
        <f>ROUND(K37,1)=ROUND(K4,1)</f>
        <v>1</v>
      </c>
      <c r="L42" s="316"/>
      <c r="M42" s="316"/>
      <c r="N42" s="315" t="b">
        <f>ROUND(N37,1)=ROUND(N4,1)</f>
        <v>1</v>
      </c>
      <c r="O42" s="316"/>
      <c r="P42" s="316"/>
      <c r="Q42" s="315"/>
      <c r="R42" s="316"/>
      <c r="S42" s="316"/>
      <c r="T42" s="315"/>
      <c r="U42" s="316"/>
      <c r="V42" s="316"/>
      <c r="W42" s="315"/>
      <c r="X42" s="316"/>
      <c r="Y42" s="316"/>
      <c r="Z42" s="315"/>
      <c r="AA42" s="316"/>
      <c r="AB42" s="316"/>
      <c r="AC42" s="315"/>
      <c r="AD42" s="316"/>
      <c r="AE42" s="316"/>
      <c r="AG42" s="50"/>
      <c r="AH42" s="50"/>
      <c r="AI42" s="50"/>
      <c r="AJ42" s="50"/>
      <c r="AK42" s="50"/>
      <c r="AL42" s="50"/>
    </row>
    <row r="43" spans="1:38" s="45" customFormat="1" ht="13.8" thickBot="1" x14ac:dyDescent="0.45">
      <c r="A43" s="157"/>
      <c r="B43" s="43" t="s">
        <v>203</v>
      </c>
      <c r="C43" s="44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G43" s="50"/>
      <c r="AH43" s="50"/>
      <c r="AI43" s="50"/>
      <c r="AJ43" s="50"/>
      <c r="AK43" s="50"/>
      <c r="AL43" s="50"/>
    </row>
    <row r="44" spans="1:38" s="41" customFormat="1" ht="16.2" customHeight="1" x14ac:dyDescent="0.4">
      <c r="A44" s="159"/>
      <c r="B44" s="197" t="s">
        <v>498</v>
      </c>
      <c r="C44" s="198" t="s">
        <v>499</v>
      </c>
      <c r="D44" s="279" t="str">
        <f>D26</f>
        <v>1Q24</v>
      </c>
      <c r="E44" s="281" t="str">
        <f>E26</f>
        <v>2Q24</v>
      </c>
      <c r="F44" s="281" t="str">
        <f>F26</f>
        <v>3Q24</v>
      </c>
      <c r="G44" s="317" t="str">
        <f>G26</f>
        <v>4Q24</v>
      </c>
      <c r="H44" s="279" t="str">
        <f>H26</f>
        <v>1Q25</v>
      </c>
      <c r="I44" s="280"/>
      <c r="J44" s="280"/>
      <c r="K44" s="279" t="str">
        <f>K26</f>
        <v>2Q25</v>
      </c>
      <c r="L44" s="280"/>
      <c r="M44" s="280"/>
      <c r="N44" s="279" t="str">
        <f>N26</f>
        <v>3Q25</v>
      </c>
      <c r="O44" s="280"/>
      <c r="P44" s="280"/>
      <c r="Q44" s="281"/>
      <c r="R44" s="280"/>
      <c r="S44" s="282"/>
      <c r="T44" s="279"/>
      <c r="U44" s="280"/>
      <c r="V44" s="280"/>
      <c r="W44" s="281"/>
      <c r="X44" s="280"/>
      <c r="Y44" s="280"/>
      <c r="Z44" s="281"/>
      <c r="AA44" s="280"/>
      <c r="AB44" s="280"/>
      <c r="AC44" s="281"/>
      <c r="AD44" s="280"/>
      <c r="AE44" s="282"/>
      <c r="AG44" s="50"/>
      <c r="AH44" s="50"/>
      <c r="AI44" s="50"/>
      <c r="AJ44" s="50"/>
      <c r="AK44" s="50"/>
      <c r="AL44" s="50"/>
    </row>
    <row r="45" spans="1:38" s="21" customFormat="1" ht="16.2" customHeight="1" x14ac:dyDescent="0.4">
      <c r="A45" s="157"/>
      <c r="B45" s="76" t="str">
        <f>B27</f>
        <v>장비</v>
      </c>
      <c r="C45" s="77" t="str">
        <f t="shared" ref="C45:C58" si="94">C27</f>
        <v>Device</v>
      </c>
      <c r="D45" s="96">
        <f t="shared" ref="D45:H45" si="95">IFERROR(D27/D$37,"")</f>
        <v>0.44058040056372688</v>
      </c>
      <c r="E45" s="97">
        <f t="shared" si="95"/>
        <v>0.52600398358897538</v>
      </c>
      <c r="F45" s="97">
        <f t="shared" si="95"/>
        <v>0.55096613478758505</v>
      </c>
      <c r="G45" s="98">
        <f t="shared" si="95"/>
        <v>0.51157356051609593</v>
      </c>
      <c r="H45" s="99">
        <f t="shared" si="95"/>
        <v>0.45474822662845438</v>
      </c>
      <c r="I45" s="283"/>
      <c r="J45" s="284"/>
      <c r="K45" s="100">
        <f t="shared" ref="K45" si="96">IFERROR(K27/K$37,"")</f>
        <v>0.54620335238461182</v>
      </c>
      <c r="L45" s="283"/>
      <c r="M45" s="284"/>
      <c r="N45" s="100">
        <f t="shared" ref="N45:N58" si="97">IFERROR(N27/N$37,"")</f>
        <v>0.51742750087348344</v>
      </c>
      <c r="O45" s="283"/>
      <c r="P45" s="284"/>
      <c r="Q45" s="100"/>
      <c r="R45" s="283"/>
      <c r="S45" s="285"/>
      <c r="T45" s="99"/>
      <c r="U45" s="283"/>
      <c r="V45" s="284"/>
      <c r="W45" s="100"/>
      <c r="X45" s="283"/>
      <c r="Y45" s="284"/>
      <c r="Z45" s="100"/>
      <c r="AA45" s="283"/>
      <c r="AB45" s="284"/>
      <c r="AC45" s="100"/>
      <c r="AD45" s="283"/>
      <c r="AE45" s="285"/>
      <c r="AG45" s="50"/>
      <c r="AH45" s="50"/>
      <c r="AI45" s="50"/>
      <c r="AJ45" s="50"/>
      <c r="AK45" s="50"/>
      <c r="AL45" s="50"/>
    </row>
    <row r="46" spans="1:38" s="101" customFormat="1" ht="16.2" customHeight="1" x14ac:dyDescent="0.4">
      <c r="A46" s="160"/>
      <c r="B46" s="83" t="str">
        <f t="shared" ref="B46" si="98">B28</f>
        <v>수출</v>
      </c>
      <c r="C46" s="84" t="str">
        <f t="shared" si="94"/>
        <v>Global</v>
      </c>
      <c r="D46" s="318">
        <f t="shared" ref="D46:H46" si="99">IFERROR(D28/D$37,"")</f>
        <v>0.30951388475356795</v>
      </c>
      <c r="E46" s="319">
        <f t="shared" si="99"/>
        <v>0.41276110382867159</v>
      </c>
      <c r="F46" s="319">
        <f t="shared" si="99"/>
        <v>0.44588635292533496</v>
      </c>
      <c r="G46" s="320">
        <f t="shared" si="99"/>
        <v>0.38383809249873063</v>
      </c>
      <c r="H46" s="321">
        <f t="shared" si="99"/>
        <v>0.33592260708311178</v>
      </c>
      <c r="I46" s="251"/>
      <c r="J46" s="252"/>
      <c r="K46" s="322">
        <f t="shared" ref="K46" si="100">IFERROR(K28/K$37,"")</f>
        <v>0.39455357571682437</v>
      </c>
      <c r="L46" s="251"/>
      <c r="M46" s="252"/>
      <c r="N46" s="322">
        <f t="shared" si="97"/>
        <v>0.3775617161239021</v>
      </c>
      <c r="O46" s="251"/>
      <c r="P46" s="252"/>
      <c r="Q46" s="322"/>
      <c r="R46" s="251"/>
      <c r="S46" s="253"/>
      <c r="T46" s="321"/>
      <c r="U46" s="251"/>
      <c r="V46" s="252"/>
      <c r="W46" s="322"/>
      <c r="X46" s="251"/>
      <c r="Y46" s="252"/>
      <c r="Z46" s="322"/>
      <c r="AA46" s="251"/>
      <c r="AB46" s="252"/>
      <c r="AC46" s="322"/>
      <c r="AD46" s="251"/>
      <c r="AE46" s="253"/>
      <c r="AG46" s="50"/>
      <c r="AH46" s="50"/>
      <c r="AI46" s="50"/>
      <c r="AJ46" s="50"/>
      <c r="AK46" s="50"/>
      <c r="AL46" s="50"/>
    </row>
    <row r="47" spans="1:38" s="101" customFormat="1" ht="16.2" customHeight="1" x14ac:dyDescent="0.4">
      <c r="A47" s="160"/>
      <c r="B47" s="83" t="str">
        <f t="shared" ref="B47" si="101">B29</f>
        <v>내수</v>
      </c>
      <c r="C47" s="84" t="str">
        <f t="shared" si="94"/>
        <v>Korea</v>
      </c>
      <c r="D47" s="318">
        <f t="shared" ref="D47:H47" si="102">IFERROR(D29/D$37,"")</f>
        <v>0.13106651581015899</v>
      </c>
      <c r="E47" s="319">
        <f t="shared" si="102"/>
        <v>0.11324287976030371</v>
      </c>
      <c r="F47" s="319">
        <f t="shared" si="102"/>
        <v>0.10507978186225006</v>
      </c>
      <c r="G47" s="320">
        <f t="shared" si="102"/>
        <v>0.12773546801736529</v>
      </c>
      <c r="H47" s="321">
        <f t="shared" si="102"/>
        <v>0.11882561954534256</v>
      </c>
      <c r="I47" s="251"/>
      <c r="J47" s="252"/>
      <c r="K47" s="322">
        <f t="shared" ref="K47" si="103">IFERROR(K29/K$37,"")</f>
        <v>0.15164977666778737</v>
      </c>
      <c r="L47" s="251"/>
      <c r="M47" s="252"/>
      <c r="N47" s="322">
        <f t="shared" si="97"/>
        <v>0.13986578474958133</v>
      </c>
      <c r="O47" s="251"/>
      <c r="P47" s="252"/>
      <c r="Q47" s="322"/>
      <c r="R47" s="251"/>
      <c r="S47" s="253"/>
      <c r="T47" s="321"/>
      <c r="U47" s="251"/>
      <c r="V47" s="252"/>
      <c r="W47" s="322"/>
      <c r="X47" s="251"/>
      <c r="Y47" s="252"/>
      <c r="Z47" s="322"/>
      <c r="AA47" s="251"/>
      <c r="AB47" s="252"/>
      <c r="AC47" s="322"/>
      <c r="AD47" s="251"/>
      <c r="AE47" s="253"/>
      <c r="AG47" s="50"/>
      <c r="AH47" s="50"/>
      <c r="AI47" s="50"/>
      <c r="AJ47" s="50"/>
      <c r="AK47" s="50"/>
      <c r="AL47" s="50"/>
    </row>
    <row r="48" spans="1:38" s="21" customFormat="1" ht="16.2" customHeight="1" x14ac:dyDescent="0.4">
      <c r="A48" s="157"/>
      <c r="B48" s="76" t="str">
        <f t="shared" ref="B48" si="104">B30</f>
        <v>소모품</v>
      </c>
      <c r="C48" s="77" t="str">
        <f t="shared" si="94"/>
        <v>Consumable</v>
      </c>
      <c r="D48" s="96">
        <f>IFERROR(D30/D$37,"")</f>
        <v>0.5259334246412195</v>
      </c>
      <c r="E48" s="97">
        <f t="shared" ref="E48:H48" si="105">IFERROR(E30/E$37,"")</f>
        <v>0.44372754975230244</v>
      </c>
      <c r="F48" s="97">
        <f t="shared" si="105"/>
        <v>0.43777351376826229</v>
      </c>
      <c r="G48" s="98">
        <f t="shared" si="105"/>
        <v>0.4668715227819043</v>
      </c>
      <c r="H48" s="99">
        <f t="shared" si="105"/>
        <v>0.53150571239609412</v>
      </c>
      <c r="I48" s="283"/>
      <c r="J48" s="284"/>
      <c r="K48" s="100">
        <f t="shared" ref="K48" si="106">IFERROR(K30/K$37,"")</f>
        <v>0.42274626578934732</v>
      </c>
      <c r="L48" s="283"/>
      <c r="M48" s="818"/>
      <c r="N48" s="100">
        <f t="shared" si="97"/>
        <v>0.44950060842640444</v>
      </c>
      <c r="O48" s="283"/>
      <c r="P48" s="284"/>
      <c r="Q48" s="100"/>
      <c r="R48" s="283"/>
      <c r="S48" s="285"/>
      <c r="T48" s="99"/>
      <c r="U48" s="283"/>
      <c r="V48" s="284"/>
      <c r="W48" s="100"/>
      <c r="X48" s="283"/>
      <c r="Y48" s="284"/>
      <c r="Z48" s="100"/>
      <c r="AA48" s="283"/>
      <c r="AB48" s="284"/>
      <c r="AC48" s="100"/>
      <c r="AD48" s="283"/>
      <c r="AE48" s="285"/>
      <c r="AG48" s="50"/>
      <c r="AH48" s="50"/>
      <c r="AI48" s="50"/>
      <c r="AJ48" s="50"/>
      <c r="AK48" s="50"/>
      <c r="AL48" s="50"/>
    </row>
    <row r="49" spans="1:38" s="101" customFormat="1" ht="16.2" customHeight="1" x14ac:dyDescent="0.4">
      <c r="A49" s="160"/>
      <c r="B49" s="83" t="str">
        <f t="shared" ref="B49" si="107">B31</f>
        <v>수출</v>
      </c>
      <c r="C49" s="84" t="str">
        <f t="shared" si="94"/>
        <v>Global</v>
      </c>
      <c r="D49" s="318">
        <f t="shared" ref="D49:H49" si="108">IFERROR(D31/D$37,"")</f>
        <v>0.34454832370630617</v>
      </c>
      <c r="E49" s="319">
        <f t="shared" si="108"/>
        <v>0.26349568444527671</v>
      </c>
      <c r="F49" s="319">
        <f t="shared" si="108"/>
        <v>0.22852285733521849</v>
      </c>
      <c r="G49" s="320">
        <f t="shared" si="108"/>
        <v>0.27627633423452874</v>
      </c>
      <c r="H49" s="321">
        <f t="shared" si="108"/>
        <v>0.33803638815763881</v>
      </c>
      <c r="I49" s="251"/>
      <c r="J49" s="252"/>
      <c r="K49" s="322">
        <f t="shared" ref="K49" si="109">IFERROR(K31/K$37,"")</f>
        <v>0.24166706690360695</v>
      </c>
      <c r="L49" s="251"/>
      <c r="M49" s="252"/>
      <c r="N49" s="322">
        <f t="shared" si="97"/>
        <v>0.25950289755545114</v>
      </c>
      <c r="O49" s="251"/>
      <c r="P49" s="252"/>
      <c r="Q49" s="322"/>
      <c r="R49" s="251"/>
      <c r="S49" s="253"/>
      <c r="T49" s="321"/>
      <c r="U49" s="251"/>
      <c r="V49" s="252"/>
      <c r="W49" s="322"/>
      <c r="X49" s="251"/>
      <c r="Y49" s="252"/>
      <c r="Z49" s="322"/>
      <c r="AA49" s="251"/>
      <c r="AB49" s="252"/>
      <c r="AC49" s="322"/>
      <c r="AD49" s="251"/>
      <c r="AE49" s="253"/>
      <c r="AG49" s="50"/>
      <c r="AH49" s="50"/>
      <c r="AI49" s="50"/>
      <c r="AJ49" s="50"/>
      <c r="AK49" s="50"/>
      <c r="AL49" s="50"/>
    </row>
    <row r="50" spans="1:38" s="101" customFormat="1" ht="16.2" customHeight="1" x14ac:dyDescent="0.4">
      <c r="A50" s="160"/>
      <c r="B50" s="83" t="str">
        <f t="shared" ref="B50" si="110">B32</f>
        <v>내수</v>
      </c>
      <c r="C50" s="84" t="str">
        <f t="shared" si="94"/>
        <v>Korea</v>
      </c>
      <c r="D50" s="318">
        <f t="shared" ref="D50:H50" si="111">IFERROR(D32/D$37,"")</f>
        <v>0.18138510093491333</v>
      </c>
      <c r="E50" s="319">
        <f t="shared" si="111"/>
        <v>0.18023186530702576</v>
      </c>
      <c r="F50" s="319">
        <f t="shared" si="111"/>
        <v>0.20925065643304383</v>
      </c>
      <c r="G50" s="320">
        <f t="shared" si="111"/>
        <v>0.19059518854737556</v>
      </c>
      <c r="H50" s="321">
        <f t="shared" si="111"/>
        <v>0.19346932423845525</v>
      </c>
      <c r="I50" s="251"/>
      <c r="J50" s="252"/>
      <c r="K50" s="322">
        <f t="shared" ref="K50" si="112">IFERROR(K32/K$37,"")</f>
        <v>0.18107919888574037</v>
      </c>
      <c r="L50" s="251"/>
      <c r="M50" s="252"/>
      <c r="N50" s="322">
        <f t="shared" si="97"/>
        <v>0.18999771087095335</v>
      </c>
      <c r="O50" s="251"/>
      <c r="P50" s="252"/>
      <c r="Q50" s="322"/>
      <c r="R50" s="251"/>
      <c r="S50" s="253"/>
      <c r="T50" s="321"/>
      <c r="U50" s="251"/>
      <c r="V50" s="252"/>
      <c r="W50" s="322"/>
      <c r="X50" s="251"/>
      <c r="Y50" s="252"/>
      <c r="Z50" s="322"/>
      <c r="AA50" s="251"/>
      <c r="AB50" s="252"/>
      <c r="AC50" s="322"/>
      <c r="AD50" s="251"/>
      <c r="AE50" s="253"/>
      <c r="AG50" s="50"/>
      <c r="AH50" s="50"/>
      <c r="AI50" s="50"/>
      <c r="AJ50" s="50"/>
      <c r="AK50" s="50"/>
      <c r="AL50" s="50"/>
    </row>
    <row r="51" spans="1:38" s="21" customFormat="1" ht="13.2" x14ac:dyDescent="0.4">
      <c r="A51" s="157"/>
      <c r="B51" s="76" t="str">
        <f t="shared" ref="B51" si="113">B33</f>
        <v>홈케어</v>
      </c>
      <c r="C51" s="77" t="s">
        <v>308</v>
      </c>
      <c r="D51" s="96">
        <f t="shared" ref="D51:H51" si="114">IFERROR(D33/D$37,"")</f>
        <v>2.7690108973977251E-2</v>
      </c>
      <c r="E51" s="97">
        <f t="shared" si="114"/>
        <v>2.5774161148090773E-2</v>
      </c>
      <c r="F51" s="97">
        <f t="shared" si="114"/>
        <v>7.2880899481586221E-3</v>
      </c>
      <c r="G51" s="98">
        <f t="shared" si="114"/>
        <v>1.8601208726434507E-2</v>
      </c>
      <c r="H51" s="99">
        <f t="shared" si="114"/>
        <v>1.068561721110578E-2</v>
      </c>
      <c r="I51" s="283"/>
      <c r="J51" s="284"/>
      <c r="K51" s="100">
        <f t="shared" ref="K51" si="115">IFERROR(K33/K$37,"")</f>
        <v>2.8528889102348593E-2</v>
      </c>
      <c r="L51" s="283"/>
      <c r="M51" s="284"/>
      <c r="N51" s="100">
        <f t="shared" si="97"/>
        <v>3.0132167082324305E-2</v>
      </c>
      <c r="O51" s="283"/>
      <c r="P51" s="284"/>
      <c r="Q51" s="100"/>
      <c r="R51" s="283"/>
      <c r="S51" s="285"/>
      <c r="T51" s="99"/>
      <c r="U51" s="283"/>
      <c r="V51" s="284"/>
      <c r="W51" s="100"/>
      <c r="X51" s="283"/>
      <c r="Y51" s="284"/>
      <c r="Z51" s="100"/>
      <c r="AA51" s="283"/>
      <c r="AB51" s="284"/>
      <c r="AC51" s="100"/>
      <c r="AD51" s="283"/>
      <c r="AE51" s="285"/>
      <c r="AG51" s="50"/>
      <c r="AH51" s="50"/>
      <c r="AI51" s="50"/>
      <c r="AJ51" s="50"/>
      <c r="AK51" s="50"/>
      <c r="AL51" s="50"/>
    </row>
    <row r="52" spans="1:38" s="101" customFormat="1" ht="16.2" customHeight="1" x14ac:dyDescent="0.4">
      <c r="A52" s="160"/>
      <c r="B52" s="83" t="str">
        <f t="shared" ref="B52" si="116">B34</f>
        <v>수출</v>
      </c>
      <c r="C52" s="84" t="str">
        <f t="shared" si="94"/>
        <v>Global</v>
      </c>
      <c r="D52" s="318">
        <f t="shared" ref="D52:H52" si="117">IFERROR(D34/D$37,"")</f>
        <v>1.387482879771333E-2</v>
      </c>
      <c r="E52" s="319">
        <f t="shared" si="117"/>
        <v>1.0129211283430653E-2</v>
      </c>
      <c r="F52" s="319">
        <f t="shared" si="117"/>
        <v>2.6257321753181176E-3</v>
      </c>
      <c r="G52" s="320">
        <f t="shared" si="117"/>
        <v>3.6154083435049737E-3</v>
      </c>
      <c r="H52" s="321">
        <f t="shared" si="117"/>
        <v>7.2880059133998169E-3</v>
      </c>
      <c r="I52" s="251"/>
      <c r="J52" s="252"/>
      <c r="K52" s="322">
        <f t="shared" ref="K52" si="118">IFERROR(K34/K$37,"")</f>
        <v>4.910907257096201E-3</v>
      </c>
      <c r="L52" s="251"/>
      <c r="M52" s="252"/>
      <c r="N52" s="322">
        <f t="shared" si="97"/>
        <v>1.4096215708244478E-3</v>
      </c>
      <c r="O52" s="251"/>
      <c r="P52" s="252"/>
      <c r="Q52" s="322"/>
      <c r="R52" s="251"/>
      <c r="S52" s="253"/>
      <c r="T52" s="321"/>
      <c r="U52" s="251"/>
      <c r="V52" s="252"/>
      <c r="W52" s="322"/>
      <c r="X52" s="251"/>
      <c r="Y52" s="252"/>
      <c r="Z52" s="322"/>
      <c r="AA52" s="251"/>
      <c r="AB52" s="252"/>
      <c r="AC52" s="322"/>
      <c r="AD52" s="251"/>
      <c r="AE52" s="253"/>
      <c r="AG52" s="50"/>
      <c r="AH52" s="50"/>
      <c r="AI52" s="50"/>
      <c r="AJ52" s="50"/>
      <c r="AK52" s="50"/>
      <c r="AL52" s="50"/>
    </row>
    <row r="53" spans="1:38" s="101" customFormat="1" ht="16.2" customHeight="1" x14ac:dyDescent="0.4">
      <c r="A53" s="160"/>
      <c r="B53" s="83" t="str">
        <f t="shared" ref="B53" si="119">B35</f>
        <v>내수</v>
      </c>
      <c r="C53" s="84" t="str">
        <f t="shared" si="94"/>
        <v>Korea</v>
      </c>
      <c r="D53" s="318">
        <f t="shared" ref="D53:H53" si="120">IFERROR(D35/D$37,"")</f>
        <v>1.3815280176263918E-2</v>
      </c>
      <c r="E53" s="319">
        <f t="shared" si="120"/>
        <v>1.564494986466012E-2</v>
      </c>
      <c r="F53" s="319">
        <f t="shared" si="120"/>
        <v>4.6623577728405041E-3</v>
      </c>
      <c r="G53" s="320">
        <f t="shared" si="120"/>
        <v>1.4985800382929536E-2</v>
      </c>
      <c r="H53" s="321">
        <f t="shared" si="120"/>
        <v>3.3976112977059641E-3</v>
      </c>
      <c r="I53" s="251"/>
      <c r="J53" s="252"/>
      <c r="K53" s="322">
        <f t="shared" ref="K53" si="121">IFERROR(K35/K$37,"")</f>
        <v>2.3617981845252392E-2</v>
      </c>
      <c r="L53" s="251"/>
      <c r="M53" s="252"/>
      <c r="N53" s="322">
        <f t="shared" si="97"/>
        <v>2.8722545511499858E-2</v>
      </c>
      <c r="O53" s="251"/>
      <c r="P53" s="252"/>
      <c r="Q53" s="322"/>
      <c r="R53" s="251"/>
      <c r="S53" s="253"/>
      <c r="T53" s="321"/>
      <c r="U53" s="251"/>
      <c r="V53" s="252"/>
      <c r="W53" s="322"/>
      <c r="X53" s="251"/>
      <c r="Y53" s="252"/>
      <c r="Z53" s="322"/>
      <c r="AA53" s="251"/>
      <c r="AB53" s="252"/>
      <c r="AC53" s="322"/>
      <c r="AD53" s="251"/>
      <c r="AE53" s="253"/>
      <c r="AG53" s="50"/>
      <c r="AH53" s="50"/>
      <c r="AI53" s="50"/>
      <c r="AJ53" s="50"/>
      <c r="AK53" s="50"/>
      <c r="AL53" s="50"/>
    </row>
    <row r="54" spans="1:38" s="21" customFormat="1" ht="16.2" customHeight="1" x14ac:dyDescent="0.4">
      <c r="A54" s="157"/>
      <c r="B54" s="76" t="str">
        <f t="shared" ref="B54" si="122">B36</f>
        <v>임대료</v>
      </c>
      <c r="C54" s="77" t="str">
        <f t="shared" si="94"/>
        <v>Rentals</v>
      </c>
      <c r="D54" s="96">
        <f t="shared" ref="D54:H54" si="123">IFERROR(D36/D$37,"")</f>
        <v>5.7960658210762413E-3</v>
      </c>
      <c r="E54" s="97">
        <f t="shared" si="123"/>
        <v>4.4943055106314161E-3</v>
      </c>
      <c r="F54" s="97">
        <f t="shared" si="123"/>
        <v>3.9722614959940752E-3</v>
      </c>
      <c r="G54" s="98">
        <f t="shared" si="123"/>
        <v>2.9537079755652691E-3</v>
      </c>
      <c r="H54" s="99">
        <f t="shared" si="123"/>
        <v>3.06044376434583E-3</v>
      </c>
      <c r="I54" s="283"/>
      <c r="J54" s="284"/>
      <c r="K54" s="100">
        <f t="shared" ref="K54" si="124">IFERROR(K36/K$37,"")</f>
        <v>2.521492723692426E-3</v>
      </c>
      <c r="L54" s="283"/>
      <c r="M54" s="284"/>
      <c r="N54" s="100">
        <f t="shared" si="97"/>
        <v>2.9397236177877372E-3</v>
      </c>
      <c r="O54" s="283"/>
      <c r="P54" s="284"/>
      <c r="Q54" s="100"/>
      <c r="R54" s="283"/>
      <c r="S54" s="285"/>
      <c r="T54" s="99"/>
      <c r="U54" s="283"/>
      <c r="V54" s="284"/>
      <c r="W54" s="100"/>
      <c r="X54" s="283"/>
      <c r="Y54" s="284"/>
      <c r="Z54" s="100"/>
      <c r="AA54" s="283"/>
      <c r="AB54" s="284"/>
      <c r="AC54" s="100"/>
      <c r="AD54" s="283"/>
      <c r="AE54" s="285"/>
      <c r="AG54" s="50"/>
      <c r="AH54" s="50"/>
      <c r="AI54" s="50"/>
      <c r="AJ54" s="50"/>
      <c r="AK54" s="50"/>
      <c r="AL54" s="50"/>
    </row>
    <row r="55" spans="1:38" s="153" customFormat="1" ht="16.2" customHeight="1" x14ac:dyDescent="0.4">
      <c r="A55" s="161"/>
      <c r="B55" s="151" t="str">
        <f t="shared" ref="B55" si="125">B37</f>
        <v>총계</v>
      </c>
      <c r="C55" s="152" t="str">
        <f t="shared" si="94"/>
        <v>Total</v>
      </c>
      <c r="D55" s="323">
        <f t="shared" ref="D55:H55" si="126">IFERROR(D37/D$37,"")</f>
        <v>1</v>
      </c>
      <c r="E55" s="324">
        <f t="shared" si="126"/>
        <v>1</v>
      </c>
      <c r="F55" s="324">
        <f t="shared" si="126"/>
        <v>1</v>
      </c>
      <c r="G55" s="325">
        <f t="shared" si="126"/>
        <v>1</v>
      </c>
      <c r="H55" s="326">
        <f t="shared" si="126"/>
        <v>1</v>
      </c>
      <c r="I55" s="327"/>
      <c r="J55" s="328"/>
      <c r="K55" s="329">
        <f t="shared" ref="K55" si="127">IFERROR(K37/K$37,"")</f>
        <v>1</v>
      </c>
      <c r="L55" s="327"/>
      <c r="M55" s="328"/>
      <c r="N55" s="329">
        <f t="shared" si="97"/>
        <v>1</v>
      </c>
      <c r="O55" s="327"/>
      <c r="P55" s="328"/>
      <c r="Q55" s="329"/>
      <c r="R55" s="327"/>
      <c r="S55" s="330"/>
      <c r="T55" s="326"/>
      <c r="U55" s="327"/>
      <c r="V55" s="328"/>
      <c r="W55" s="329"/>
      <c r="X55" s="327"/>
      <c r="Y55" s="328"/>
      <c r="Z55" s="329"/>
      <c r="AA55" s="327"/>
      <c r="AB55" s="328"/>
      <c r="AC55" s="329"/>
      <c r="AD55" s="327"/>
      <c r="AE55" s="330"/>
      <c r="AG55" s="50"/>
      <c r="AH55" s="50"/>
      <c r="AI55" s="50"/>
      <c r="AJ55" s="50"/>
      <c r="AK55" s="50"/>
      <c r="AL55" s="50"/>
    </row>
    <row r="56" spans="1:38" s="101" customFormat="1" ht="16.2" customHeight="1" x14ac:dyDescent="0.4">
      <c r="A56" s="160"/>
      <c r="B56" s="83" t="str">
        <f t="shared" ref="B56" si="128">B38</f>
        <v>수출</v>
      </c>
      <c r="C56" s="84" t="str">
        <f t="shared" si="94"/>
        <v>Global</v>
      </c>
      <c r="D56" s="318">
        <f t="shared" ref="D56:H56" si="129">IFERROR(D38/D$37,"")</f>
        <v>0.66793703725758735</v>
      </c>
      <c r="E56" s="319">
        <f t="shared" si="129"/>
        <v>0.68638599955737889</v>
      </c>
      <c r="F56" s="319">
        <f t="shared" si="129"/>
        <v>0.67703494243587148</v>
      </c>
      <c r="G56" s="320">
        <f t="shared" si="129"/>
        <v>0.66372983507676431</v>
      </c>
      <c r="H56" s="321">
        <f t="shared" si="129"/>
        <v>0.68124700115415038</v>
      </c>
      <c r="I56" s="251"/>
      <c r="J56" s="252"/>
      <c r="K56" s="322">
        <f t="shared" ref="K56" si="130">IFERROR(K38/K$37,"")</f>
        <v>0.64113154987752752</v>
      </c>
      <c r="L56" s="251"/>
      <c r="M56" s="252"/>
      <c r="N56" s="322">
        <f t="shared" si="97"/>
        <v>0.63847423525017766</v>
      </c>
      <c r="O56" s="251"/>
      <c r="P56" s="252"/>
      <c r="Q56" s="322"/>
      <c r="R56" s="251"/>
      <c r="S56" s="253"/>
      <c r="T56" s="321"/>
      <c r="U56" s="251"/>
      <c r="V56" s="252"/>
      <c r="W56" s="322"/>
      <c r="X56" s="251"/>
      <c r="Y56" s="252"/>
      <c r="Z56" s="322"/>
      <c r="AA56" s="251"/>
      <c r="AB56" s="252"/>
      <c r="AC56" s="322"/>
      <c r="AD56" s="251"/>
      <c r="AE56" s="253"/>
      <c r="AG56" s="50"/>
      <c r="AH56" s="50"/>
      <c r="AI56" s="50"/>
      <c r="AJ56" s="50"/>
      <c r="AK56" s="50"/>
      <c r="AL56" s="50"/>
    </row>
    <row r="57" spans="1:38" s="102" customFormat="1" ht="16.2" customHeight="1" thickBot="1" x14ac:dyDescent="0.45">
      <c r="A57" s="160"/>
      <c r="B57" s="83" t="str">
        <f t="shared" ref="B57" si="131">B39</f>
        <v>내수</v>
      </c>
      <c r="C57" s="84" t="str">
        <f t="shared" si="94"/>
        <v>Korea</v>
      </c>
      <c r="D57" s="318">
        <f t="shared" ref="D57:H57" si="132">IFERROR(D39/D$37,"")</f>
        <v>0.33206296274241254</v>
      </c>
      <c r="E57" s="319">
        <f t="shared" si="132"/>
        <v>0.313614000442621</v>
      </c>
      <c r="F57" s="319">
        <f t="shared" si="132"/>
        <v>0.32296505756412852</v>
      </c>
      <c r="G57" s="320">
        <f t="shared" si="132"/>
        <v>0.33627016492323564</v>
      </c>
      <c r="H57" s="321">
        <f t="shared" si="132"/>
        <v>0.31875299884584962</v>
      </c>
      <c r="I57" s="251"/>
      <c r="J57" s="252"/>
      <c r="K57" s="322">
        <f t="shared" ref="K57" si="133">IFERROR(K39/K$37,"")</f>
        <v>0.35886845012247254</v>
      </c>
      <c r="L57" s="251"/>
      <c r="M57" s="252"/>
      <c r="N57" s="322">
        <f t="shared" si="97"/>
        <v>0.36152576474982223</v>
      </c>
      <c r="O57" s="251"/>
      <c r="P57" s="252"/>
      <c r="Q57" s="322"/>
      <c r="R57" s="251"/>
      <c r="S57" s="253"/>
      <c r="T57" s="321"/>
      <c r="U57" s="251"/>
      <c r="V57" s="252"/>
      <c r="W57" s="322"/>
      <c r="X57" s="251"/>
      <c r="Y57" s="252"/>
      <c r="Z57" s="322"/>
      <c r="AA57" s="251"/>
      <c r="AB57" s="252"/>
      <c r="AC57" s="322"/>
      <c r="AD57" s="251"/>
      <c r="AE57" s="253"/>
      <c r="AG57" s="50"/>
      <c r="AH57" s="50"/>
      <c r="AI57" s="50"/>
      <c r="AJ57" s="50"/>
      <c r="AK57" s="50"/>
      <c r="AL57" s="50"/>
    </row>
    <row r="58" spans="1:38" s="144" customFormat="1" ht="16.2" customHeight="1" thickBot="1" x14ac:dyDescent="0.45">
      <c r="A58" s="162"/>
      <c r="B58" s="145" t="str">
        <f t="shared" ref="B58" si="134">B40</f>
        <v>브라질</v>
      </c>
      <c r="C58" s="146" t="str">
        <f t="shared" si="94"/>
        <v>Brazil</v>
      </c>
      <c r="D58" s="538">
        <f t="shared" ref="D58:H58" si="135">IFERROR(D40/D$37,"")</f>
        <v>0.22674130093888326</v>
      </c>
      <c r="E58" s="539">
        <f t="shared" si="135"/>
        <v>0.19999659522309798</v>
      </c>
      <c r="F58" s="539">
        <f t="shared" si="135"/>
        <v>0.23215848650104356</v>
      </c>
      <c r="G58" s="540">
        <f t="shared" si="135"/>
        <v>0.13405235248371228</v>
      </c>
      <c r="H58" s="541">
        <f t="shared" si="135"/>
        <v>0.15313890005576231</v>
      </c>
      <c r="I58" s="332"/>
      <c r="J58" s="333"/>
      <c r="K58" s="848">
        <f t="shared" ref="K58" si="136">IFERROR(K40/K$37,"")</f>
        <v>5.459632102204505E-2</v>
      </c>
      <c r="L58" s="332"/>
      <c r="M58" s="333"/>
      <c r="N58" s="848" t="str">
        <f t="shared" si="97"/>
        <v/>
      </c>
      <c r="O58" s="332"/>
      <c r="P58" s="333"/>
      <c r="Q58" s="334"/>
      <c r="R58" s="332"/>
      <c r="S58" s="335"/>
      <c r="T58" s="331"/>
      <c r="U58" s="332"/>
      <c r="V58" s="333"/>
      <c r="W58" s="334"/>
      <c r="X58" s="332"/>
      <c r="Y58" s="333"/>
      <c r="Z58" s="334"/>
      <c r="AA58" s="332"/>
      <c r="AB58" s="333"/>
      <c r="AC58" s="334"/>
      <c r="AD58" s="332"/>
      <c r="AE58" s="335"/>
      <c r="AG58" s="50"/>
      <c r="AH58" s="50"/>
      <c r="AI58" s="50"/>
      <c r="AJ58" s="50"/>
      <c r="AK58" s="50"/>
      <c r="AL58" s="50"/>
    </row>
    <row r="59" spans="1:38" ht="16.2" customHeight="1" x14ac:dyDescent="0.4">
      <c r="C59" s="901"/>
      <c r="AG59" s="50"/>
      <c r="AH59" s="50"/>
      <c r="AI59" s="50"/>
      <c r="AJ59" s="50"/>
      <c r="AK59" s="50"/>
      <c r="AL59" s="50"/>
    </row>
    <row r="60" spans="1:38" ht="16.2" customHeight="1" x14ac:dyDescent="0.4">
      <c r="AG60" s="50"/>
      <c r="AH60" s="50"/>
      <c r="AI60" s="50"/>
      <c r="AJ60" s="50"/>
      <c r="AK60" s="50"/>
      <c r="AL60" s="50"/>
    </row>
    <row r="61" spans="1:38" ht="16.2" customHeight="1" x14ac:dyDescent="0.4">
      <c r="AG61" s="50"/>
      <c r="AH61" s="50"/>
      <c r="AI61" s="50"/>
      <c r="AJ61" s="50"/>
      <c r="AK61" s="50"/>
      <c r="AL61" s="50"/>
    </row>
    <row r="62" spans="1:38" ht="16.2" customHeight="1" x14ac:dyDescent="0.4">
      <c r="B62" s="856" t="s">
        <v>501</v>
      </c>
      <c r="C62" s="857" t="s">
        <v>503</v>
      </c>
      <c r="D62" s="898" t="s">
        <v>271</v>
      </c>
      <c r="E62" s="898" t="s">
        <v>251</v>
      </c>
      <c r="F62" s="898" t="s">
        <v>252</v>
      </c>
      <c r="G62" s="873" t="s">
        <v>253</v>
      </c>
      <c r="H62" s="864" t="s">
        <v>272</v>
      </c>
      <c r="I62" s="858" t="s">
        <v>1</v>
      </c>
      <c r="J62" s="859" t="s">
        <v>0</v>
      </c>
      <c r="K62" s="864" t="s">
        <v>416</v>
      </c>
      <c r="L62" s="858" t="s">
        <v>1</v>
      </c>
      <c r="M62" s="859" t="s">
        <v>0</v>
      </c>
      <c r="N62" s="864" t="s">
        <v>447</v>
      </c>
      <c r="O62" s="858" t="s">
        <v>1</v>
      </c>
      <c r="P62" s="859" t="s">
        <v>0</v>
      </c>
      <c r="AG62" s="50"/>
      <c r="AH62" s="50"/>
      <c r="AI62" s="50"/>
      <c r="AJ62" s="50"/>
      <c r="AK62" s="50"/>
      <c r="AL62" s="50"/>
    </row>
    <row r="63" spans="1:38" s="6" customFormat="1" ht="16.2" customHeight="1" x14ac:dyDescent="0.4">
      <c r="A63" s="156"/>
      <c r="B63" s="850" t="s">
        <v>452</v>
      </c>
      <c r="C63" s="895" t="s">
        <v>59</v>
      </c>
      <c r="D63" s="805">
        <f>+SUM(D64:D67)</f>
        <v>6485</v>
      </c>
      <c r="E63" s="805">
        <f>+SUM(E64:E67)</f>
        <v>4854</v>
      </c>
      <c r="F63" s="805">
        <f>+SUM(F64:F67)</f>
        <v>-3060</v>
      </c>
      <c r="G63" s="801">
        <f>+SUM(G64:G67)</f>
        <v>15933</v>
      </c>
      <c r="H63" s="805">
        <f>+SUM(H64:H67)</f>
        <v>2137</v>
      </c>
      <c r="I63" s="860">
        <f t="shared" ref="I63" si="137">H63/G63-1</f>
        <v>-0.86587585514341303</v>
      </c>
      <c r="J63" s="865">
        <f t="shared" ref="J63" si="138">H63/D63-1</f>
        <v>-0.67047031611410945</v>
      </c>
      <c r="K63" s="805">
        <f>+SUM(K64:K67)</f>
        <v>1018</v>
      </c>
      <c r="L63" s="251">
        <f t="shared" ref="L63" si="139">IFERROR((K63-H63)/H63,)</f>
        <v>-0.5236312587739822</v>
      </c>
      <c r="M63" s="403">
        <f t="shared" ref="M63" si="140">IFERROR((K63-E63)/E63,)</f>
        <v>-0.79027606098063452</v>
      </c>
      <c r="N63" s="805">
        <f>+SUM(N64:N67)</f>
        <v>2246</v>
      </c>
      <c r="O63" s="283">
        <f t="shared" ref="O63" si="141">IFERROR((N63-K63)/K63,)</f>
        <v>1.2062868369351669</v>
      </c>
      <c r="P63" s="408">
        <f t="shared" ref="P63" si="142">IFERROR((N63-F63)/F63,)</f>
        <v>-1.7339869281045752</v>
      </c>
      <c r="Q63" s="852"/>
      <c r="R63" s="853"/>
      <c r="S63" s="853"/>
      <c r="T63" s="852"/>
      <c r="U63" s="853"/>
      <c r="V63" s="853"/>
      <c r="W63" s="852"/>
      <c r="X63" s="853"/>
      <c r="Y63" s="853"/>
      <c r="Z63" s="852"/>
      <c r="AA63" s="853"/>
      <c r="AB63" s="853"/>
      <c r="AC63" s="852"/>
      <c r="AD63" s="853"/>
      <c r="AE63" s="853"/>
      <c r="AG63" s="50"/>
      <c r="AH63" s="50"/>
      <c r="AI63" s="50"/>
      <c r="AJ63" s="50"/>
      <c r="AK63" s="50"/>
      <c r="AL63" s="50"/>
    </row>
    <row r="64" spans="1:38" s="6" customFormat="1" ht="16.2" customHeight="1" x14ac:dyDescent="0.4">
      <c r="A64" s="156"/>
      <c r="B64" s="854" t="s">
        <v>453</v>
      </c>
      <c r="C64" s="875" t="s">
        <v>471</v>
      </c>
      <c r="D64" s="808">
        <v>1340</v>
      </c>
      <c r="E64" s="808">
        <v>1151</v>
      </c>
      <c r="F64" s="808">
        <v>1161</v>
      </c>
      <c r="G64" s="799">
        <f>4801-SUM(D64:F64)</f>
        <v>1149</v>
      </c>
      <c r="H64" s="808">
        <v>1327</v>
      </c>
      <c r="I64" s="861">
        <f t="shared" ref="I64:I74" si="143">H64/G64-1</f>
        <v>0.15491731940818099</v>
      </c>
      <c r="J64" s="866">
        <f t="shared" ref="J64:J74" si="144">H64/D64-1</f>
        <v>-9.7014925373134497E-3</v>
      </c>
      <c r="K64" s="808">
        <v>1211</v>
      </c>
      <c r="L64" s="251">
        <f t="shared" ref="L64:L74" si="145">IFERROR((K64-H64)/H64,)</f>
        <v>-8.7415222305953277E-2</v>
      </c>
      <c r="M64" s="403">
        <f t="shared" ref="M64:M74" si="146">IFERROR((K64-E64)/E64,)</f>
        <v>5.2128583840139006E-2</v>
      </c>
      <c r="N64" s="808">
        <v>1284</v>
      </c>
      <c r="O64" s="283">
        <f t="shared" ref="O64:O74" si="147">IFERROR((N64-K64)/K64,)</f>
        <v>6.028075970272502E-2</v>
      </c>
      <c r="P64" s="408">
        <f t="shared" ref="P64:P74" si="148">IFERROR((N64-F64)/F64,)</f>
        <v>0.10594315245478036</v>
      </c>
      <c r="Q64" s="852"/>
      <c r="R64" s="853"/>
      <c r="S64" s="853"/>
      <c r="T64" s="852"/>
      <c r="U64" s="853"/>
      <c r="V64" s="853"/>
      <c r="W64" s="852"/>
      <c r="X64" s="853"/>
      <c r="Y64" s="853"/>
      <c r="Z64" s="852"/>
      <c r="AA64" s="853"/>
      <c r="AB64" s="853"/>
      <c r="AC64" s="852"/>
      <c r="AD64" s="853"/>
      <c r="AE64" s="853"/>
      <c r="AG64" s="50"/>
      <c r="AH64" s="50"/>
      <c r="AI64" s="50"/>
      <c r="AJ64" s="50"/>
      <c r="AK64" s="50"/>
      <c r="AL64" s="50"/>
    </row>
    <row r="65" spans="1:31" s="6" customFormat="1" ht="16.2" customHeight="1" x14ac:dyDescent="0.4">
      <c r="A65" s="156"/>
      <c r="B65" s="854" t="s">
        <v>454</v>
      </c>
      <c r="C65" s="875" t="s">
        <v>472</v>
      </c>
      <c r="D65" s="808">
        <v>315</v>
      </c>
      <c r="E65" s="808">
        <v>289</v>
      </c>
      <c r="F65" s="808">
        <v>290</v>
      </c>
      <c r="G65" s="799">
        <f>3089-SUM(D65:F65)</f>
        <v>2195</v>
      </c>
      <c r="H65" s="808">
        <v>0</v>
      </c>
      <c r="I65" s="861">
        <f t="shared" si="143"/>
        <v>-1</v>
      </c>
      <c r="J65" s="866">
        <f t="shared" si="144"/>
        <v>-1</v>
      </c>
      <c r="K65" s="808">
        <v>0</v>
      </c>
      <c r="L65" s="251">
        <f t="shared" si="145"/>
        <v>0</v>
      </c>
      <c r="M65" s="403">
        <f t="shared" si="146"/>
        <v>-1</v>
      </c>
      <c r="N65" s="808">
        <v>0</v>
      </c>
      <c r="O65" s="283">
        <f t="shared" si="147"/>
        <v>0</v>
      </c>
      <c r="P65" s="408">
        <f t="shared" si="148"/>
        <v>-1</v>
      </c>
      <c r="Q65" s="852"/>
      <c r="R65" s="853"/>
      <c r="S65" s="853"/>
      <c r="T65" s="852"/>
      <c r="U65" s="853"/>
      <c r="V65" s="853"/>
      <c r="W65" s="852"/>
      <c r="X65" s="853"/>
      <c r="Y65" s="853"/>
      <c r="Z65" s="852"/>
      <c r="AA65" s="853"/>
      <c r="AB65" s="853"/>
      <c r="AC65" s="852"/>
      <c r="AD65" s="853"/>
      <c r="AE65" s="853"/>
    </row>
    <row r="66" spans="1:31" s="6" customFormat="1" ht="16.2" customHeight="1" x14ac:dyDescent="0.4">
      <c r="A66" s="156"/>
      <c r="B66" s="854" t="s">
        <v>455</v>
      </c>
      <c r="C66" s="875" t="s">
        <v>474</v>
      </c>
      <c r="D66" s="808">
        <v>262</v>
      </c>
      <c r="E66" s="808">
        <v>943</v>
      </c>
      <c r="F66" s="808">
        <v>745</v>
      </c>
      <c r="G66" s="799">
        <f>3499-SUM(D66:F66)</f>
        <v>1549</v>
      </c>
      <c r="H66" s="808">
        <v>363</v>
      </c>
      <c r="I66" s="861">
        <f t="shared" si="143"/>
        <v>-0.76565526145900575</v>
      </c>
      <c r="J66" s="866">
        <f t="shared" si="144"/>
        <v>0.38549618320610679</v>
      </c>
      <c r="K66" s="808">
        <v>155</v>
      </c>
      <c r="L66" s="251">
        <f t="shared" si="145"/>
        <v>-0.57300275482093666</v>
      </c>
      <c r="M66" s="403">
        <f t="shared" si="146"/>
        <v>-0.83563096500530221</v>
      </c>
      <c r="N66" s="808">
        <v>560</v>
      </c>
      <c r="O66" s="283">
        <f t="shared" si="147"/>
        <v>2.6129032258064515</v>
      </c>
      <c r="P66" s="408">
        <f t="shared" si="148"/>
        <v>-0.24832214765100671</v>
      </c>
      <c r="Q66" s="852"/>
      <c r="R66" s="853"/>
      <c r="S66" s="853"/>
      <c r="T66" s="852"/>
      <c r="U66" s="853"/>
      <c r="V66" s="853"/>
      <c r="W66" s="852"/>
      <c r="X66" s="853"/>
      <c r="Y66" s="853"/>
      <c r="Z66" s="852"/>
      <c r="AA66" s="853"/>
      <c r="AB66" s="853"/>
      <c r="AC66" s="852"/>
      <c r="AD66" s="853"/>
      <c r="AE66" s="853"/>
    </row>
    <row r="67" spans="1:31" s="6" customFormat="1" ht="16.2" customHeight="1" x14ac:dyDescent="0.4">
      <c r="A67" s="156"/>
      <c r="B67" s="855" t="s">
        <v>456</v>
      </c>
      <c r="C67" s="896" t="s">
        <v>473</v>
      </c>
      <c r="D67" s="886">
        <v>4568</v>
      </c>
      <c r="E67" s="886">
        <v>2471</v>
      </c>
      <c r="F67" s="886">
        <v>-5256</v>
      </c>
      <c r="G67" s="887">
        <f>12823-SUM(D67:F67)</f>
        <v>11040</v>
      </c>
      <c r="H67" s="886">
        <v>447</v>
      </c>
      <c r="I67" s="862">
        <f t="shared" si="143"/>
        <v>-0.95951086956521736</v>
      </c>
      <c r="J67" s="867">
        <f t="shared" si="144"/>
        <v>-0.9021453590192644</v>
      </c>
      <c r="K67" s="886">
        <v>-348</v>
      </c>
      <c r="L67" s="869">
        <f t="shared" si="145"/>
        <v>-1.7785234899328859</v>
      </c>
      <c r="M67" s="870">
        <f t="shared" si="146"/>
        <v>-1.140833670578713</v>
      </c>
      <c r="N67" s="886">
        <v>402</v>
      </c>
      <c r="O67" s="871">
        <f t="shared" si="147"/>
        <v>-2.1551724137931036</v>
      </c>
      <c r="P67" s="872">
        <f t="shared" si="148"/>
        <v>-1.0764840182648401</v>
      </c>
      <c r="Q67" s="852"/>
      <c r="R67" s="853"/>
      <c r="S67" s="853"/>
      <c r="T67" s="852"/>
      <c r="U67" s="853"/>
      <c r="V67" s="853"/>
      <c r="W67" s="852"/>
      <c r="X67" s="853"/>
      <c r="Y67" s="853"/>
      <c r="Z67" s="852"/>
      <c r="AA67" s="853"/>
      <c r="AB67" s="853"/>
      <c r="AC67" s="852"/>
      <c r="AD67" s="853"/>
      <c r="AE67" s="853"/>
    </row>
    <row r="68" spans="1:31" s="6" customFormat="1" ht="16.2" customHeight="1" x14ac:dyDescent="0.4">
      <c r="A68" s="156"/>
      <c r="B68" s="850" t="s">
        <v>457</v>
      </c>
      <c r="C68" s="895" t="s">
        <v>60</v>
      </c>
      <c r="D68" s="805">
        <f>+SUM(D69:D74)</f>
        <v>-865.99</v>
      </c>
      <c r="E68" s="805">
        <f>+SUM(E69:E74)</f>
        <v>-1769</v>
      </c>
      <c r="F68" s="805">
        <f>+SUM(F69:F74)</f>
        <v>-2675</v>
      </c>
      <c r="G68" s="801">
        <f>+SUM(G69:G74)</f>
        <v>626</v>
      </c>
      <c r="H68" s="805">
        <f>+SUM(H69:H74)</f>
        <v>-1410.586</v>
      </c>
      <c r="I68" s="863">
        <f t="shared" si="143"/>
        <v>-3.253332268370607</v>
      </c>
      <c r="J68" s="868">
        <f t="shared" si="144"/>
        <v>0.62887100312936628</v>
      </c>
      <c r="K68" s="891">
        <f>+SUM(K69:K74)</f>
        <v>-11505</v>
      </c>
      <c r="L68" s="251">
        <f t="shared" si="145"/>
        <v>7.1561847345713065</v>
      </c>
      <c r="M68" s="403">
        <f t="shared" si="146"/>
        <v>5.5036743923120408</v>
      </c>
      <c r="N68" s="891">
        <f>+SUM(N69:N74)</f>
        <v>2973</v>
      </c>
      <c r="O68" s="283">
        <f t="shared" si="147"/>
        <v>-1.2584093872229465</v>
      </c>
      <c r="P68" s="408">
        <f t="shared" si="148"/>
        <v>-2.1114018691588785</v>
      </c>
      <c r="Q68" s="852"/>
      <c r="R68" s="853"/>
      <c r="S68" s="853"/>
      <c r="T68" s="852"/>
      <c r="U68" s="853"/>
      <c r="V68" s="853"/>
      <c r="W68" s="852"/>
      <c r="X68" s="853"/>
      <c r="Y68" s="853"/>
      <c r="Z68" s="852"/>
      <c r="AA68" s="853"/>
      <c r="AB68" s="853"/>
      <c r="AC68" s="852"/>
      <c r="AD68" s="853"/>
      <c r="AE68" s="853"/>
    </row>
    <row r="69" spans="1:31" s="6" customFormat="1" ht="16.2" customHeight="1" x14ac:dyDescent="0.4">
      <c r="A69" s="156"/>
      <c r="B69" s="854" t="s">
        <v>458</v>
      </c>
      <c r="C69" s="875" t="s">
        <v>475</v>
      </c>
      <c r="D69" s="808">
        <v>-476</v>
      </c>
      <c r="E69" s="808">
        <v>-470</v>
      </c>
      <c r="F69" s="808">
        <v>-471</v>
      </c>
      <c r="G69" s="799">
        <f>-2041-SUM(D69:F69)</f>
        <v>-624</v>
      </c>
      <c r="H69" s="808">
        <v>-683</v>
      </c>
      <c r="I69" s="861">
        <f t="shared" si="143"/>
        <v>9.4551282051282159E-2</v>
      </c>
      <c r="J69" s="866">
        <f t="shared" si="144"/>
        <v>0.43487394957983194</v>
      </c>
      <c r="K69" s="808">
        <v>-575</v>
      </c>
      <c r="L69" s="251">
        <f t="shared" si="145"/>
        <v>-0.15812591508052709</v>
      </c>
      <c r="M69" s="403">
        <f t="shared" si="146"/>
        <v>0.22340425531914893</v>
      </c>
      <c r="N69" s="808">
        <v>-554</v>
      </c>
      <c r="O69" s="283">
        <f t="shared" si="147"/>
        <v>-3.6521739130434785E-2</v>
      </c>
      <c r="P69" s="408">
        <f t="shared" si="148"/>
        <v>0.17622080679405519</v>
      </c>
      <c r="Q69" s="852"/>
      <c r="R69" s="853"/>
      <c r="S69" s="853"/>
      <c r="T69" s="852"/>
      <c r="U69" s="853"/>
      <c r="V69" s="853"/>
      <c r="W69" s="852"/>
      <c r="X69" s="853"/>
      <c r="Y69" s="853"/>
      <c r="Z69" s="852"/>
      <c r="AA69" s="853"/>
      <c r="AB69" s="853"/>
      <c r="AC69" s="852"/>
      <c r="AD69" s="853"/>
      <c r="AE69" s="853"/>
    </row>
    <row r="70" spans="1:31" s="6" customFormat="1" ht="16.2" customHeight="1" x14ac:dyDescent="0.4">
      <c r="A70" s="156"/>
      <c r="B70" s="854" t="s">
        <v>459</v>
      </c>
      <c r="C70" s="875" t="s">
        <v>476</v>
      </c>
      <c r="D70" s="808">
        <v>-309.99</v>
      </c>
      <c r="E70" s="808">
        <v>-241</v>
      </c>
      <c r="F70" s="808">
        <v>-220</v>
      </c>
      <c r="G70" s="799">
        <v>771</v>
      </c>
      <c r="H70" s="808">
        <v>-102.586</v>
      </c>
      <c r="I70" s="861">
        <f t="shared" si="143"/>
        <v>-1.1330557717250325</v>
      </c>
      <c r="J70" s="866">
        <f>IFERROR(H70/D70-1,0)</f>
        <v>-0.66906674408851896</v>
      </c>
      <c r="K70" s="808">
        <v>-107</v>
      </c>
      <c r="L70" s="251">
        <f t="shared" si="145"/>
        <v>4.3027313668531783E-2</v>
      </c>
      <c r="M70" s="403">
        <f t="shared" si="146"/>
        <v>-0.55601659751037347</v>
      </c>
      <c r="N70" s="808">
        <v>-66</v>
      </c>
      <c r="O70" s="283">
        <f t="shared" si="147"/>
        <v>-0.38317757009345793</v>
      </c>
      <c r="P70" s="408">
        <f t="shared" si="148"/>
        <v>-0.7</v>
      </c>
      <c r="Q70" s="852"/>
      <c r="R70" s="853"/>
      <c r="S70" s="853"/>
      <c r="T70" s="852"/>
      <c r="U70" s="853"/>
      <c r="V70" s="853"/>
      <c r="W70" s="852"/>
      <c r="X70" s="853"/>
      <c r="Y70" s="853"/>
      <c r="Z70" s="852"/>
      <c r="AA70" s="853"/>
      <c r="AB70" s="853"/>
      <c r="AC70" s="852"/>
      <c r="AD70" s="853"/>
      <c r="AE70" s="853"/>
    </row>
    <row r="71" spans="1:31" s="6" customFormat="1" ht="16.2" customHeight="1" x14ac:dyDescent="0.4">
      <c r="A71" s="156"/>
      <c r="B71" s="854" t="s">
        <v>460</v>
      </c>
      <c r="C71" s="875" t="s">
        <v>477</v>
      </c>
      <c r="D71" s="808">
        <v>-79</v>
      </c>
      <c r="E71" s="808">
        <v>-59</v>
      </c>
      <c r="F71" s="808">
        <v>-607</v>
      </c>
      <c r="G71" s="799">
        <f>-946-SUM(D71:F71)</f>
        <v>-201</v>
      </c>
      <c r="H71" s="808">
        <v>-248</v>
      </c>
      <c r="I71" s="861">
        <f t="shared" si="143"/>
        <v>0.23383084577114421</v>
      </c>
      <c r="J71" s="866">
        <f t="shared" si="144"/>
        <v>2.1392405063291138</v>
      </c>
      <c r="K71" s="808">
        <v>-1620</v>
      </c>
      <c r="L71" s="251">
        <f t="shared" si="145"/>
        <v>5.532258064516129</v>
      </c>
      <c r="M71" s="403">
        <f t="shared" si="146"/>
        <v>26.457627118644069</v>
      </c>
      <c r="N71" s="808">
        <v>-734</v>
      </c>
      <c r="O71" s="283">
        <f t="shared" si="147"/>
        <v>-0.54691358024691361</v>
      </c>
      <c r="P71" s="408">
        <f t="shared" si="148"/>
        <v>0.20922570016474465</v>
      </c>
      <c r="Q71" s="852"/>
      <c r="R71" s="853"/>
      <c r="S71" s="853"/>
      <c r="T71" s="852"/>
      <c r="U71" s="853"/>
      <c r="V71" s="853"/>
      <c r="W71" s="852"/>
      <c r="X71" s="853"/>
      <c r="Y71" s="853"/>
      <c r="Z71" s="852"/>
      <c r="AA71" s="853"/>
      <c r="AB71" s="853"/>
      <c r="AC71" s="852"/>
      <c r="AD71" s="853"/>
      <c r="AE71" s="853"/>
    </row>
    <row r="72" spans="1:31" s="6" customFormat="1" ht="16.2" customHeight="1" x14ac:dyDescent="0.4">
      <c r="A72" s="156"/>
      <c r="B72" s="854" t="s">
        <v>461</v>
      </c>
      <c r="C72" s="875" t="s">
        <v>478</v>
      </c>
      <c r="D72" s="888">
        <v>0</v>
      </c>
      <c r="E72" s="888">
        <v>-992</v>
      </c>
      <c r="F72" s="888">
        <v>-645</v>
      </c>
      <c r="G72" s="889">
        <f>-1648-SUM(D72:F72)</f>
        <v>-11</v>
      </c>
      <c r="H72" s="888">
        <v>0</v>
      </c>
      <c r="I72" s="861">
        <f t="shared" si="143"/>
        <v>-1</v>
      </c>
      <c r="J72" s="866">
        <f t="shared" ref="J72:J73" si="149">IFERROR(H72/D72-1,0)</f>
        <v>0</v>
      </c>
      <c r="K72" s="888">
        <v>-362</v>
      </c>
      <c r="L72" s="251">
        <f t="shared" si="145"/>
        <v>0</v>
      </c>
      <c r="M72" s="403">
        <f t="shared" si="146"/>
        <v>-0.63508064516129037</v>
      </c>
      <c r="N72" s="888">
        <v>0</v>
      </c>
      <c r="O72" s="283">
        <f t="shared" si="147"/>
        <v>-1</v>
      </c>
      <c r="P72" s="408">
        <f t="shared" si="148"/>
        <v>-1</v>
      </c>
      <c r="Q72" s="852"/>
      <c r="R72" s="853"/>
      <c r="S72" s="853"/>
      <c r="T72" s="852"/>
      <c r="U72" s="853"/>
      <c r="V72" s="853"/>
      <c r="W72" s="852"/>
      <c r="X72" s="853"/>
      <c r="Y72" s="853"/>
      <c r="Z72" s="852"/>
      <c r="AA72" s="853"/>
      <c r="AB72" s="853"/>
      <c r="AC72" s="852"/>
      <c r="AD72" s="853"/>
      <c r="AE72" s="853"/>
    </row>
    <row r="73" spans="1:31" s="6" customFormat="1" ht="16.2" customHeight="1" x14ac:dyDescent="0.4">
      <c r="A73" s="156"/>
      <c r="B73" s="854" t="s">
        <v>462</v>
      </c>
      <c r="C73" s="875" t="s">
        <v>479</v>
      </c>
      <c r="D73" s="890">
        <v>0</v>
      </c>
      <c r="E73" s="890">
        <v>0</v>
      </c>
      <c r="F73" s="890"/>
      <c r="G73" s="892">
        <f>-29-SUM(D73:F73)</f>
        <v>-29</v>
      </c>
      <c r="H73" s="890">
        <v>0</v>
      </c>
      <c r="I73" s="861">
        <f t="shared" si="143"/>
        <v>-1</v>
      </c>
      <c r="J73" s="866">
        <f t="shared" si="149"/>
        <v>0</v>
      </c>
      <c r="K73" s="890">
        <v>-2</v>
      </c>
      <c r="L73" s="251">
        <f t="shared" si="145"/>
        <v>0</v>
      </c>
      <c r="M73" s="403">
        <f t="shared" si="146"/>
        <v>0</v>
      </c>
      <c r="N73" s="890">
        <v>0</v>
      </c>
      <c r="O73" s="283">
        <f t="shared" si="147"/>
        <v>-1</v>
      </c>
      <c r="P73" s="408">
        <f t="shared" si="148"/>
        <v>0</v>
      </c>
      <c r="Q73" s="852"/>
      <c r="R73" s="853"/>
      <c r="S73" s="853"/>
      <c r="T73" s="852"/>
      <c r="U73" s="853"/>
      <c r="V73" s="853"/>
      <c r="W73" s="852"/>
      <c r="X73" s="853"/>
      <c r="Y73" s="853"/>
      <c r="Z73" s="852"/>
      <c r="AA73" s="853"/>
      <c r="AB73" s="853"/>
      <c r="AC73" s="852"/>
      <c r="AD73" s="853"/>
      <c r="AE73" s="853"/>
    </row>
    <row r="74" spans="1:31" s="6" customFormat="1" ht="16.2" customHeight="1" x14ac:dyDescent="0.4">
      <c r="A74" s="156"/>
      <c r="B74" s="855" t="s">
        <v>463</v>
      </c>
      <c r="C74" s="896" t="s">
        <v>480</v>
      </c>
      <c r="D74" s="893">
        <v>-1</v>
      </c>
      <c r="E74" s="893">
        <v>-7</v>
      </c>
      <c r="F74" s="893">
        <v>-732</v>
      </c>
      <c r="G74" s="894">
        <f>-20-SUM(D74:F74)</f>
        <v>720</v>
      </c>
      <c r="H74" s="893">
        <v>-377</v>
      </c>
      <c r="I74" s="862">
        <f t="shared" si="143"/>
        <v>-1.5236111111111112</v>
      </c>
      <c r="J74" s="867">
        <f t="shared" si="144"/>
        <v>376</v>
      </c>
      <c r="K74" s="893">
        <v>-8839</v>
      </c>
      <c r="L74" s="869">
        <f t="shared" si="145"/>
        <v>22.445623342175065</v>
      </c>
      <c r="M74" s="870">
        <f t="shared" si="146"/>
        <v>1261.7142857142858</v>
      </c>
      <c r="N74" s="893">
        <v>4327</v>
      </c>
      <c r="O74" s="871">
        <f t="shared" si="147"/>
        <v>-1.489535015273221</v>
      </c>
      <c r="P74" s="872">
        <f t="shared" si="148"/>
        <v>-6.9112021857923498</v>
      </c>
      <c r="Q74" s="852"/>
      <c r="R74" s="853"/>
      <c r="S74" s="853"/>
      <c r="T74" s="852"/>
      <c r="U74" s="853"/>
      <c r="V74" s="853"/>
      <c r="W74" s="852"/>
      <c r="X74" s="853"/>
      <c r="Y74" s="853"/>
      <c r="Z74" s="852"/>
      <c r="AA74" s="853"/>
      <c r="AB74" s="853"/>
      <c r="AC74" s="852"/>
      <c r="AD74" s="853"/>
      <c r="AE74" s="853"/>
    </row>
    <row r="75" spans="1:31" s="6" customFormat="1" ht="16.2" customHeight="1" x14ac:dyDescent="0.4">
      <c r="A75" s="156"/>
      <c r="B75" s="851"/>
      <c r="C75" s="851"/>
      <c r="D75" s="852"/>
      <c r="E75" s="852"/>
      <c r="F75" s="852"/>
      <c r="G75" s="852"/>
      <c r="H75" s="852"/>
      <c r="I75" s="853"/>
      <c r="J75" s="853"/>
      <c r="K75" s="852"/>
      <c r="L75" s="853"/>
      <c r="M75" s="853"/>
      <c r="N75" s="852"/>
      <c r="O75" s="853"/>
      <c r="P75" s="853"/>
      <c r="Q75" s="852"/>
      <c r="R75" s="853"/>
      <c r="S75" s="853"/>
      <c r="T75" s="852"/>
      <c r="U75" s="853"/>
      <c r="V75" s="853"/>
      <c r="W75" s="852"/>
      <c r="X75" s="853"/>
      <c r="Y75" s="853"/>
      <c r="Z75" s="852"/>
      <c r="AA75" s="853"/>
      <c r="AB75" s="853"/>
      <c r="AC75" s="852"/>
      <c r="AD75" s="853"/>
      <c r="AE75" s="853"/>
    </row>
  </sheetData>
  <phoneticPr fontId="3" type="noConversion"/>
  <conditionalFormatting sqref="D1:G1 I1:AE1">
    <cfRule type="cellIs" dxfId="313" priority="32" operator="equal">
      <formula>0</formula>
    </cfRule>
  </conditionalFormatting>
  <conditionalFormatting sqref="D25:AE25">
    <cfRule type="cellIs" dxfId="312" priority="31" operator="equal">
      <formula>0</formula>
    </cfRule>
  </conditionalFormatting>
  <conditionalFormatting sqref="D43:AE43">
    <cfRule type="cellIs" dxfId="311" priority="30" operator="equal">
      <formula>0</formula>
    </cfRule>
  </conditionalFormatting>
  <conditionalFormatting sqref="I4:J23 L4:M23 O4:P23 R4:S23 U4:V23 X4:Y23 AA4:AB23 AD4:AE23 H24:AE24 L27:M42 O42:AE42 H59:AE61 Q62:AE74 H75:AE1048576">
    <cfRule type="cellIs" dxfId="310" priority="33" operator="lessThan">
      <formula>0</formula>
    </cfRule>
    <cfRule type="cellIs" dxfId="309" priority="34" operator="greaterThan">
      <formula>0</formula>
    </cfRule>
  </conditionalFormatting>
  <conditionalFormatting sqref="I27:J42 I45:J58">
    <cfRule type="cellIs" dxfId="308" priority="112" operator="lessThan">
      <formula>0</formula>
    </cfRule>
    <cfRule type="cellIs" dxfId="307" priority="113" operator="greaterThan">
      <formula>0</formula>
    </cfRule>
  </conditionalFormatting>
  <conditionalFormatting sqref="I63:J74">
    <cfRule type="cellIs" dxfId="306" priority="13" operator="lessThan">
      <formula>0</formula>
    </cfRule>
    <cfRule type="cellIs" dxfId="305" priority="14" operator="greaterThan">
      <formula>0</formula>
    </cfRule>
  </conditionalFormatting>
  <conditionalFormatting sqref="L63:M74">
    <cfRule type="cellIs" dxfId="304" priority="3" operator="lessThan">
      <formula>0</formula>
    </cfRule>
    <cfRule type="cellIs" dxfId="303" priority="4" operator="greaterThan">
      <formula>0</formula>
    </cfRule>
  </conditionalFormatting>
  <conditionalFormatting sqref="O27:P41 R27:S41 U27:V41 X27:Y41 AA27:AB41 AD27:AE41 L45:M58 O45:P58 R45:S58 U45:V58 X45:Y58 AA45:AB58 AD45:AE58">
    <cfRule type="cellIs" dxfId="302" priority="44" operator="lessThan">
      <formula>0</formula>
    </cfRule>
    <cfRule type="cellIs" dxfId="301" priority="45" operator="greaterThan">
      <formula>0</formula>
    </cfRule>
  </conditionalFormatting>
  <conditionalFormatting sqref="O63:P74">
    <cfRule type="cellIs" dxfId="300" priority="1" operator="lessThan">
      <formula>0</formula>
    </cfRule>
    <cfRule type="cellIs" dxfId="299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2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3A34-57D6-4282-8C23-0BE32A55620B}">
  <dimension ref="A1:S21"/>
  <sheetViews>
    <sheetView zoomScale="115" zoomScaleNormal="115" workbookViewId="0">
      <selection activeCell="M9" sqref="M9"/>
    </sheetView>
  </sheetViews>
  <sheetFormatPr defaultRowHeight="13.2" x14ac:dyDescent="0.4"/>
  <cols>
    <col min="1" max="1" width="5.296875" style="142" customWidth="1"/>
    <col min="2" max="2" width="4.69921875" style="16" bestFit="1" customWidth="1"/>
    <col min="3" max="3" width="3.69921875" style="16" customWidth="1"/>
    <col min="4" max="4" width="17.69921875" style="16" customWidth="1"/>
    <col min="5" max="5" width="9.09765625" style="16" customWidth="1"/>
    <col min="6" max="6" width="9.19921875" style="16" customWidth="1"/>
    <col min="7" max="7" width="11.8984375" style="16" customWidth="1"/>
    <col min="8" max="12" width="11.69921875" style="16" customWidth="1"/>
    <col min="13" max="13" width="8.796875" style="16"/>
    <col min="14" max="14" width="8.69921875" style="16" customWidth="1"/>
    <col min="15" max="18" width="8.796875" style="16"/>
    <col min="19" max="19" width="8.69921875" style="16" customWidth="1"/>
    <col min="20" max="24" width="8.796875" style="16"/>
    <col min="25" max="25" width="9.19921875" style="16" bestFit="1" customWidth="1"/>
    <col min="26" max="27" width="8.796875" style="16"/>
    <col min="28" max="28" width="8.796875" style="16" customWidth="1"/>
    <col min="29" max="29" width="9.19921875" style="16" customWidth="1"/>
    <col min="30" max="30" width="8.796875" style="16"/>
    <col min="31" max="31" width="9.8984375" style="16" bestFit="1" customWidth="1"/>
    <col min="32" max="16384" width="8.796875" style="16"/>
  </cols>
  <sheetData>
    <row r="1" spans="1:19" x14ac:dyDescent="0.4">
      <c r="B1" s="194" t="s">
        <v>212</v>
      </c>
      <c r="H1" s="196"/>
      <c r="I1" s="196"/>
      <c r="J1" s="196"/>
      <c r="K1" s="196"/>
      <c r="L1" s="196"/>
    </row>
    <row r="2" spans="1:19" s="466" customFormat="1" x14ac:dyDescent="0.4">
      <c r="A2" s="606"/>
      <c r="B2" s="601"/>
      <c r="C2" s="607"/>
      <c r="D2" s="608"/>
      <c r="E2" s="609"/>
      <c r="F2" s="607"/>
      <c r="G2" s="608"/>
      <c r="H2" s="164">
        <v>2022</v>
      </c>
      <c r="I2" s="164">
        <v>2023</v>
      </c>
      <c r="J2" s="164">
        <v>2024</v>
      </c>
      <c r="K2" s="164" t="s">
        <v>272</v>
      </c>
      <c r="L2" s="164" t="s">
        <v>416</v>
      </c>
      <c r="M2" s="164" t="s">
        <v>447</v>
      </c>
      <c r="O2" s="472"/>
      <c r="P2" s="466" t="s">
        <v>237</v>
      </c>
      <c r="Q2" s="472" t="s">
        <v>272</v>
      </c>
      <c r="R2" s="472" t="s">
        <v>416</v>
      </c>
      <c r="S2" s="466" t="s">
        <v>447</v>
      </c>
    </row>
    <row r="3" spans="1:19" ht="13.8" thickBot="1" x14ac:dyDescent="0.45">
      <c r="B3" s="165" t="s">
        <v>111</v>
      </c>
      <c r="C3" s="166"/>
      <c r="D3" s="167"/>
      <c r="E3" s="165" t="s">
        <v>92</v>
      </c>
      <c r="F3" s="166"/>
      <c r="G3" s="167"/>
      <c r="H3" s="195"/>
      <c r="I3" s="195"/>
      <c r="J3" s="195"/>
      <c r="K3" s="195"/>
      <c r="L3" s="195"/>
      <c r="M3" s="195"/>
      <c r="O3" s="16" t="s">
        <v>257</v>
      </c>
      <c r="P3" s="155">
        <f>J4/J14</f>
        <v>1.8168750136398624</v>
      </c>
      <c r="Q3" s="155">
        <f>K4/K14</f>
        <v>3.5619882090333039</v>
      </c>
      <c r="R3" s="155">
        <f>L4/L14</f>
        <v>5.2750197809379946</v>
      </c>
      <c r="S3" s="155">
        <f>M4/M14</f>
        <v>6.0728669427987869</v>
      </c>
    </row>
    <row r="4" spans="1:19" s="466" customFormat="1" ht="14.4" thickTop="1" thickBot="1" x14ac:dyDescent="0.45">
      <c r="A4" s="795">
        <f>INDEX(BS_Quarterly!$A$2:$A$51,MATCH(BS!$F4,BS_Quarterly!$D$2:$D$51,0))</f>
        <v>3</v>
      </c>
      <c r="B4" s="469"/>
      <c r="C4" s="436" t="s">
        <v>112</v>
      </c>
      <c r="D4" s="470"/>
      <c r="E4" s="471"/>
      <c r="F4" s="168" t="s">
        <v>13</v>
      </c>
      <c r="G4" s="169"/>
      <c r="H4" s="479">
        <f>HLOOKUP(H$2,BS_Annually!$2:$51,BS!$A4,0)/1000</f>
        <v>147.78869051699999</v>
      </c>
      <c r="I4" s="479">
        <f>HLOOKUP(I$2,BS_Annually!$2:$51,BS!$A4,0)/1000</f>
        <v>185.73748307700001</v>
      </c>
      <c r="J4" s="479">
        <f>HLOOKUP(J$2,BS_Annually!$2:$51,BS!$A4,0)/1000</f>
        <v>234.20182322299996</v>
      </c>
      <c r="K4" s="479">
        <f>HLOOKUP(K$2,BS_Quarterly!$2:$51,BS!$A4,0)/1000</f>
        <v>254.232</v>
      </c>
      <c r="L4" s="479">
        <f>HLOOKUP(L$2,BS_Quarterly!$2:$51,BS!$A4,0)/1000</f>
        <v>248.438390169</v>
      </c>
      <c r="M4" s="479">
        <f>HLOOKUP(M$2,BS_Quarterly!$2:$51,BS!$A4,0)/1000</f>
        <v>272.37007779499993</v>
      </c>
      <c r="O4" s="466" t="s">
        <v>258</v>
      </c>
      <c r="P4" s="472">
        <f>J16/J20</f>
        <v>0.34405608690500478</v>
      </c>
      <c r="Q4" s="472">
        <f>K16/K20</f>
        <v>0.35383630854964293</v>
      </c>
      <c r="R4" s="472">
        <f>L16/L20</f>
        <v>0.26643267352251854</v>
      </c>
      <c r="S4" s="472">
        <f>M16/M20</f>
        <v>0.26246354674692085</v>
      </c>
    </row>
    <row r="5" spans="1:19" ht="13.8" thickBot="1" x14ac:dyDescent="0.45">
      <c r="A5" s="142">
        <f>INDEX(BS_Quarterly!$A$2:$A$51,MATCH(BS!$F5,BS_Quarterly!$D$2:$D$51,0))</f>
        <v>4</v>
      </c>
      <c r="B5" s="170"/>
      <c r="C5" s="434"/>
      <c r="D5" s="172" t="s">
        <v>422</v>
      </c>
      <c r="E5" s="170"/>
      <c r="F5" s="171" t="s">
        <v>424</v>
      </c>
      <c r="G5" s="172" t="s">
        <v>423</v>
      </c>
      <c r="H5" s="480">
        <f>(HLOOKUP(H$2,BS_Annually!$2:$51,BS!$A5,0)+HLOOKUP(H$2,BS_Annually!$2:$51,BS!$A5+1,0)+HLOOKUP(H$2,BS_Annually!$2:$51,BS!$A5+2,0))/1000</f>
        <v>111.580566585</v>
      </c>
      <c r="I5" s="480">
        <f>(HLOOKUP(I$2,BS_Annually!$2:$51,BS!$A5,0)+HLOOKUP(I$2,BS_Annually!$2:$51,BS!$A5+1,0)+HLOOKUP(I$2,BS_Annually!$2:$51,BS!$A5+2,0))/1000</f>
        <v>136.85680504800001</v>
      </c>
      <c r="J5" s="480">
        <f>(HLOOKUP(J$2,BS_Annually!$2:$51,BS!$A5,0)+HLOOKUP(J$2,BS_Annually!$2:$51,BS!$A5+1,0)+HLOOKUP(J$2,BS_Annually!$2:$51,BS!$A5+2,0))/1000</f>
        <v>158.04143159599997</v>
      </c>
      <c r="K5" s="480">
        <f>(HLOOKUP(K$2,BS_Quarterly!$2:$51,BS!$A5,0)+HLOOKUP(K$2,BS_Quarterly!$2:$51,BS!$A5+1,0)+HLOOKUP(K$2,BS_Quarterly!$2:$51,BS!$A5+2,0))/1000</f>
        <v>174.39</v>
      </c>
      <c r="L5" s="480">
        <f>(HLOOKUP(L$2,BS_Quarterly!$2:$51,BS!$A5,0)+HLOOKUP(L$2,BS_Quarterly!$2:$51,BS!$A5+1,0)+HLOOKUP(L$2,BS_Quarterly!$2:$51,BS!$A5+2,0))/1000</f>
        <v>159.15329850100002</v>
      </c>
      <c r="M5" s="480">
        <f>(HLOOKUP(M$2,BS_Quarterly!$2:$51,BS!$A5,0)+HLOOKUP(M$2,BS_Quarterly!$2:$51,BS!$A5+1,0)+HLOOKUP(M$2,BS_Quarterly!$2:$51,BS!$A5+2,0))/1000</f>
        <v>171.58453114299999</v>
      </c>
    </row>
    <row r="6" spans="1:19" ht="13.8" thickBot="1" x14ac:dyDescent="0.45">
      <c r="A6" s="142">
        <f>INDEX(BS_Quarterly!$A$2:$A$51,MATCH(BS!$F6,BS_Quarterly!$D$2:$D$51,0))</f>
        <v>9</v>
      </c>
      <c r="B6" s="170"/>
      <c r="C6" s="434"/>
      <c r="D6" s="174" t="s">
        <v>113</v>
      </c>
      <c r="E6" s="170"/>
      <c r="F6" s="173" t="str">
        <f t="shared" ref="F6:F7" si="0">G6</f>
        <v>Inventories</v>
      </c>
      <c r="G6" s="174" t="s">
        <v>93</v>
      </c>
      <c r="H6" s="481">
        <f>HLOOKUP(H$2,BS_Annually!$2:$51,BS!$A6,0)/1000</f>
        <v>23.397666986000001</v>
      </c>
      <c r="I6" s="481">
        <f>HLOOKUP(I$2,BS_Annually!$2:$51,BS!$A6,0)/1000</f>
        <v>19.434327936000003</v>
      </c>
      <c r="J6" s="481">
        <f>HLOOKUP(J$2,BS_Annually!$2:$51,BS!$A6,0)/1000</f>
        <v>29.999806868</v>
      </c>
      <c r="K6" s="481">
        <f>HLOOKUP(K$2,BS_Quarterly!$2:$51,BS!$A6,0)/1000</f>
        <v>30.414999999999999</v>
      </c>
      <c r="L6" s="481">
        <f>HLOOKUP(L$2,BS_Quarterly!$2:$51,BS!$A6,0)/1000</f>
        <v>30.085433391999999</v>
      </c>
      <c r="M6" s="481">
        <f>HLOOKUP(M$2,BS_Quarterly!$2:$51,BS!$A6,0)/1000</f>
        <v>31.261395182000001</v>
      </c>
    </row>
    <row r="7" spans="1:19" ht="13.8" thickBot="1" x14ac:dyDescent="0.45">
      <c r="A7" s="142">
        <f>INDEX(BS_Quarterly!$A$2:$A$51,MATCH(BS!$F7,BS_Quarterly!$D$2:$D$51,0))</f>
        <v>7</v>
      </c>
      <c r="B7" s="175"/>
      <c r="C7" s="435"/>
      <c r="D7" s="176" t="s">
        <v>114</v>
      </c>
      <c r="E7" s="175"/>
      <c r="F7" s="173" t="str">
        <f t="shared" si="0"/>
        <v>Accounts Receivable</v>
      </c>
      <c r="G7" s="176" t="s">
        <v>412</v>
      </c>
      <c r="H7" s="482">
        <f>HLOOKUP(H$2,BS_Annually!$2:$51,BS!$A7,0)/1000</f>
        <v>6.8623000000000003</v>
      </c>
      <c r="I7" s="482">
        <f>HLOOKUP(I$2,BS_Annually!$2:$51,BS!$A7,0)/1000</f>
        <v>17.255562999999999</v>
      </c>
      <c r="J7" s="482">
        <f>HLOOKUP(J$2,BS_Annually!$2:$51,BS!$A7,0)/1000</f>
        <v>36.937003925999996</v>
      </c>
      <c r="K7" s="482">
        <f>HLOOKUP(K$2,BS_Quarterly!$2:$51,BS!$A7,0)/1000</f>
        <v>40.216000000000001</v>
      </c>
      <c r="L7" s="482">
        <f>HLOOKUP(L$2,BS_Quarterly!$2:$51,BS!$A7,0)/1000</f>
        <v>48.972260984000002</v>
      </c>
      <c r="M7" s="482">
        <f>HLOOKUP(M$2,BS_Quarterly!$2:$51,BS!$A7,0)/1000</f>
        <v>57.741728236</v>
      </c>
    </row>
    <row r="8" spans="1:19" s="466" customFormat="1" ht="15.6" customHeight="1" thickBot="1" x14ac:dyDescent="0.45">
      <c r="A8" s="795">
        <f>INDEX(BS_Quarterly!$A$2:$A$51,MATCH(BS!$F8,BS_Quarterly!$D$2:$D$51,0))</f>
        <v>13</v>
      </c>
      <c r="B8" s="471"/>
      <c r="C8" s="436" t="s">
        <v>115</v>
      </c>
      <c r="D8" s="470"/>
      <c r="E8" s="471"/>
      <c r="F8" s="168" t="s">
        <v>19</v>
      </c>
      <c r="G8" s="169"/>
      <c r="H8" s="479">
        <f>HLOOKUP(H$2,BS_Annually!$2:$51,BS!$A8,0)/1000</f>
        <v>183.62241757199999</v>
      </c>
      <c r="I8" s="479">
        <f>HLOOKUP(I$2,BS_Annually!$2:$51,BS!$A8,0)/1000</f>
        <v>189.70553868400003</v>
      </c>
      <c r="J8" s="479">
        <f>HLOOKUP(J$2,BS_Annually!$2:$51,BS!$A8,0)/1000</f>
        <v>374.176985608</v>
      </c>
      <c r="K8" s="479">
        <f>HLOOKUP(K$2,BS_Quarterly!$2:$51,BS!$A8,0)/1000</f>
        <v>377.673</v>
      </c>
      <c r="L8" s="479">
        <f>HLOOKUP(L$2,BS_Quarterly!$2:$51,BS!$A8,0)/1000</f>
        <v>378.11610912600003</v>
      </c>
      <c r="M8" s="479">
        <f>HLOOKUP(M$2,BS_Quarterly!$2:$51,BS!$A8,0)/1000</f>
        <v>382.03348029700004</v>
      </c>
    </row>
    <row r="9" spans="1:19" ht="13.8" thickBot="1" x14ac:dyDescent="0.45">
      <c r="A9" s="142">
        <f>INDEX(BS_Quarterly!$A$2:$A$51,MATCH(BS!$F9,BS_Quarterly!$D$2:$D$51,0))</f>
        <v>18</v>
      </c>
      <c r="B9" s="177"/>
      <c r="C9" s="437"/>
      <c r="D9" s="176" t="s">
        <v>139</v>
      </c>
      <c r="E9" s="177"/>
      <c r="F9" s="171" t="s">
        <v>75</v>
      </c>
      <c r="G9" s="178" t="s">
        <v>94</v>
      </c>
      <c r="H9" s="483">
        <f>HLOOKUP(H$2,BS_Annually!$2:$51,BS!$A9,0)/1000</f>
        <v>104.24159458999999</v>
      </c>
      <c r="I9" s="483">
        <f>HLOOKUP(I$2,BS_Annually!$2:$51,BS!$A9,0)/1000</f>
        <v>138.98871488200001</v>
      </c>
      <c r="J9" s="483">
        <f>HLOOKUP(J$2,BS_Annually!$2:$51,BS!$A9,0)/1000</f>
        <v>193.17286147299998</v>
      </c>
      <c r="K9" s="483">
        <f>HLOOKUP(K$2,BS_Quarterly!$2:$51,BS!$A9,0)/1000</f>
        <v>198.161</v>
      </c>
      <c r="L9" s="483">
        <f>HLOOKUP(L$2,BS_Quarterly!$2:$51,BS!$A9,0)/1000</f>
        <v>198.42521902999999</v>
      </c>
      <c r="M9" s="483">
        <f>HLOOKUP(M$2,BS_Quarterly!$2:$51,BS!$A9,0)/1000</f>
        <v>202.92843597200002</v>
      </c>
    </row>
    <row r="10" spans="1:19" ht="13.8" thickBot="1" x14ac:dyDescent="0.45">
      <c r="A10" s="142">
        <f>INDEX(BS_Quarterly!$A$2:$A$51,MATCH(BS!$F10,BS_Quarterly!$D$2:$D$51,0))</f>
        <v>20</v>
      </c>
      <c r="B10" s="177"/>
      <c r="C10" s="437"/>
      <c r="D10" s="176" t="s">
        <v>141</v>
      </c>
      <c r="E10" s="177"/>
      <c r="F10" s="173" t="str">
        <f t="shared" ref="F10:F11" si="1">G10</f>
        <v>Investment Property</v>
      </c>
      <c r="G10" s="178" t="s">
        <v>260</v>
      </c>
      <c r="H10" s="483">
        <f>HLOOKUP(H$2,BS_Annually!$2:$51,BS!$A10,0)/1000</f>
        <v>74.654142444000001</v>
      </c>
      <c r="I10" s="483">
        <f>HLOOKUP(I$2,BS_Annually!$2:$51,BS!$A10,0)/1000</f>
        <v>41.087737051999994</v>
      </c>
      <c r="J10" s="483">
        <f>HLOOKUP(J$2,BS_Annually!$2:$51,BS!$A10,0)/1000</f>
        <v>29.444614818999998</v>
      </c>
      <c r="K10" s="483">
        <f>HLOOKUP(K$2,BS_Quarterly!$2:$51,BS!$A10,0)/1000</f>
        <v>29.393000000000001</v>
      </c>
      <c r="L10" s="483">
        <f>HLOOKUP(L$2,BS_Quarterly!$2:$51,BS!$A10,0)/1000</f>
        <v>29.358514668000002</v>
      </c>
      <c r="M10" s="483">
        <f>HLOOKUP(M$2,BS_Quarterly!$2:$51,BS!$A10,0)/1000</f>
        <v>29.315464593000002</v>
      </c>
    </row>
    <row r="11" spans="1:19" ht="13.8" thickBot="1" x14ac:dyDescent="0.45">
      <c r="A11" s="142">
        <f>INDEX(BS_Quarterly!$A$2:$A$51,MATCH(BS!$F11,BS_Quarterly!$D$2:$D$51,0))</f>
        <v>19</v>
      </c>
      <c r="B11" s="177"/>
      <c r="C11" s="437"/>
      <c r="D11" s="176" t="s">
        <v>140</v>
      </c>
      <c r="E11" s="177"/>
      <c r="F11" s="173" t="str">
        <f t="shared" si="1"/>
        <v>Intangible Assets</v>
      </c>
      <c r="G11" s="178" t="s">
        <v>259</v>
      </c>
      <c r="H11" s="483">
        <f>HLOOKUP(H$2,BS_Annually!$2:$51,BS!$A11,0)/1000</f>
        <v>1.478369574</v>
      </c>
      <c r="I11" s="483">
        <f>HLOOKUP(I$2,BS_Annually!$2:$51,BS!$A11,0)/1000</f>
        <v>2.8222968580000001</v>
      </c>
      <c r="J11" s="483">
        <f>HLOOKUP(J$2,BS_Annually!$2:$51,BS!$A11,0)/1000</f>
        <v>140.947984483</v>
      </c>
      <c r="K11" s="483">
        <f>HLOOKUP(K$2,BS_Quarterly!$2:$51,BS!$A11,0)/1000</f>
        <v>140.15899999999999</v>
      </c>
      <c r="L11" s="483">
        <f>HLOOKUP(L$2,BS_Quarterly!$2:$51,BS!$A11,0)/1000</f>
        <v>140.58566974000001</v>
      </c>
      <c r="M11" s="483">
        <f>HLOOKUP(M$2,BS_Quarterly!$2:$51,BS!$A11,0)/1000</f>
        <v>140.06748462900001</v>
      </c>
    </row>
    <row r="12" spans="1:19" s="466" customFormat="1" ht="13.8" thickBot="1" x14ac:dyDescent="0.45">
      <c r="A12" s="795">
        <f>INDEX(BS_Quarterly!$A$2:$A$51,MATCH(BS!$F12,BS_Quarterly!$D$2:$D$51,0))</f>
        <v>2</v>
      </c>
      <c r="B12" s="473"/>
      <c r="C12" s="179" t="s">
        <v>116</v>
      </c>
      <c r="D12" s="474"/>
      <c r="E12" s="473"/>
      <c r="F12" s="179" t="s">
        <v>95</v>
      </c>
      <c r="G12" s="474"/>
      <c r="H12" s="484">
        <f t="shared" ref="H12" si="2">H4+H8</f>
        <v>331.41110808899998</v>
      </c>
      <c r="I12" s="484">
        <f t="shared" ref="I12" si="3">I4+I8</f>
        <v>375.44302176100007</v>
      </c>
      <c r="J12" s="484">
        <f t="shared" ref="J12" si="4">J4+J8</f>
        <v>608.37880883100001</v>
      </c>
      <c r="K12" s="484">
        <f t="shared" ref="K12:L12" si="5">K4+K8</f>
        <v>631.90499999999997</v>
      </c>
      <c r="L12" s="484">
        <f t="shared" si="5"/>
        <v>626.55449929500003</v>
      </c>
      <c r="M12" s="484">
        <f t="shared" ref="M12" si="6">M4+M8</f>
        <v>654.40355809199991</v>
      </c>
    </row>
    <row r="13" spans="1:19" ht="13.8" thickBot="1" x14ac:dyDescent="0.45">
      <c r="B13" s="185" t="s">
        <v>117</v>
      </c>
      <c r="C13" s="438"/>
      <c r="D13" s="182"/>
      <c r="E13" s="180" t="s">
        <v>96</v>
      </c>
      <c r="F13" s="181"/>
      <c r="G13" s="182"/>
      <c r="H13" s="485"/>
      <c r="I13" s="485"/>
      <c r="J13" s="485"/>
      <c r="K13" s="485"/>
      <c r="L13" s="485"/>
      <c r="M13" s="485"/>
    </row>
    <row r="14" spans="1:19" ht="13.8" thickBot="1" x14ac:dyDescent="0.45">
      <c r="A14" s="142">
        <f>INDEX(BS_Quarterly!$A$2:$A$51,MATCH(BS!$F14,BS_Quarterly!$D$2:$D$51,0))</f>
        <v>25</v>
      </c>
      <c r="B14" s="183"/>
      <c r="C14" s="168" t="s">
        <v>118</v>
      </c>
      <c r="D14" s="433"/>
      <c r="E14" s="183"/>
      <c r="F14" s="168" t="s">
        <v>97</v>
      </c>
      <c r="G14" s="169"/>
      <c r="H14" s="486">
        <f>HLOOKUP(H$2,BS_Annually!$2:$51,BS!$A14,0)/1000</f>
        <v>36.225225301999998</v>
      </c>
      <c r="I14" s="486">
        <f>HLOOKUP(I$2,BS_Annually!$2:$51,BS!$A14,0)/1000</f>
        <v>29.246386637999997</v>
      </c>
      <c r="J14" s="486">
        <f>HLOOKUP(J$2,BS_Annually!$2:$51,BS!$A14,0)/1000</f>
        <v>128.90365130500001</v>
      </c>
      <c r="K14" s="486">
        <f>HLOOKUP(K$2,BS_Quarterly!$2:$51,BS!$A14,0)/1000</f>
        <v>71.373621999999997</v>
      </c>
      <c r="L14" s="486">
        <f>HLOOKUP(L$2,BS_Quarterly!$2:$51,BS!$A14,0)/1000</f>
        <v>47.097148539000003</v>
      </c>
      <c r="M14" s="486">
        <f>HLOOKUP(M$2,BS_Quarterly!$2:$51,BS!$A14,0)/1000</f>
        <v>44.850328578000003</v>
      </c>
    </row>
    <row r="15" spans="1:19" ht="13.8" thickBot="1" x14ac:dyDescent="0.45">
      <c r="A15" s="142">
        <f>INDEX(BS_Quarterly!$A$2:$A$51,MATCH(BS!$F15,BS_Quarterly!$D$2:$D$51,0))</f>
        <v>36</v>
      </c>
      <c r="B15" s="183"/>
      <c r="C15" s="168" t="s">
        <v>119</v>
      </c>
      <c r="D15" s="433"/>
      <c r="E15" s="183"/>
      <c r="F15" s="168" t="s">
        <v>98</v>
      </c>
      <c r="G15" s="169"/>
      <c r="H15" s="486">
        <f>HLOOKUP(H$2,BS_Annually!$2:$51,BS!$A15,0)/1000</f>
        <v>65.632025837</v>
      </c>
      <c r="I15" s="486">
        <f>HLOOKUP(I$2,BS_Annually!$2:$51,BS!$A15,0)/1000</f>
        <v>62.696135452999997</v>
      </c>
      <c r="J15" s="486">
        <f>HLOOKUP(J$2,BS_Annually!$2:$51,BS!$A15,0)/1000</f>
        <v>26.831242767999999</v>
      </c>
      <c r="K15" s="486">
        <f>HLOOKUP(K$2,BS_Quarterly!$2:$51,BS!$A15,0)/1000</f>
        <v>93.78</v>
      </c>
      <c r="L15" s="486">
        <f>HLOOKUP(L$2,BS_Quarterly!$2:$51,BS!$A15,0)/1000</f>
        <v>84.71766787</v>
      </c>
      <c r="M15" s="486">
        <f>HLOOKUP(M$2,BS_Quarterly!$2:$51,BS!$A15,0)/1000</f>
        <v>91.198810665000011</v>
      </c>
    </row>
    <row r="16" spans="1:19" s="466" customFormat="1" ht="13.8" thickBot="1" x14ac:dyDescent="0.45">
      <c r="A16" s="795">
        <f>INDEX(BS_Quarterly!$A$2:$A$51,MATCH(BS!$F16,BS_Quarterly!$D$2:$D$51,0))</f>
        <v>24</v>
      </c>
      <c r="B16" s="473"/>
      <c r="C16" s="179" t="s">
        <v>120</v>
      </c>
      <c r="D16" s="474"/>
      <c r="E16" s="473"/>
      <c r="F16" s="179" t="s">
        <v>99</v>
      </c>
      <c r="G16" s="184"/>
      <c r="H16" s="484">
        <f t="shared" ref="H16" si="7">H14+H15</f>
        <v>101.857251139</v>
      </c>
      <c r="I16" s="484">
        <f t="shared" ref="I16" si="8">I14+I15</f>
        <v>91.942522091000001</v>
      </c>
      <c r="J16" s="484">
        <f t="shared" ref="J16" si="9">J14+J15</f>
        <v>155.73489407300002</v>
      </c>
      <c r="K16" s="484">
        <f t="shared" ref="K16:L16" si="10">K14+K15</f>
        <v>165.15362199999998</v>
      </c>
      <c r="L16" s="484">
        <f t="shared" si="10"/>
        <v>131.814816409</v>
      </c>
      <c r="M16" s="484">
        <f t="shared" ref="M16" si="11">M14+M15</f>
        <v>136.04913924300001</v>
      </c>
    </row>
    <row r="17" spans="1:13" ht="13.8" thickBot="1" x14ac:dyDescent="0.45">
      <c r="B17" s="185" t="s">
        <v>121</v>
      </c>
      <c r="C17" s="186"/>
      <c r="D17" s="187"/>
      <c r="E17" s="185" t="s">
        <v>100</v>
      </c>
      <c r="F17" s="186"/>
      <c r="G17" s="187"/>
      <c r="H17" s="487"/>
      <c r="I17" s="487"/>
      <c r="J17" s="487"/>
      <c r="K17" s="487"/>
      <c r="L17" s="487"/>
      <c r="M17" s="487"/>
    </row>
    <row r="18" spans="1:13" ht="13.8" thickBot="1" x14ac:dyDescent="0.45">
      <c r="A18" s="142">
        <f>INDEX(BS_Quarterly!$A$2:$A$51,MATCH(BS!$F18,BS_Quarterly!$D$2:$D$51,0))</f>
        <v>44</v>
      </c>
      <c r="B18" s="188"/>
      <c r="C18" s="189" t="s">
        <v>153</v>
      </c>
      <c r="D18" s="439"/>
      <c r="E18" s="188"/>
      <c r="F18" s="189" t="s">
        <v>283</v>
      </c>
      <c r="G18" s="190"/>
      <c r="H18" s="481">
        <f>HLOOKUP(H$2,BS_Annually!$2:$51,BS!$A18,0)/1000</f>
        <v>6.4776701999999995</v>
      </c>
      <c r="I18" s="481">
        <f>HLOOKUP(I$2,BS_Annually!$2:$51,BS!$A18,0)/1000</f>
        <v>6.4776701999999995</v>
      </c>
      <c r="J18" s="481">
        <f>HLOOKUP(J$2,BS_Annually!$2:$51,BS!$A18,0)/1000</f>
        <v>6.6282842000000004</v>
      </c>
      <c r="K18" s="481">
        <f>HLOOKUP(K$2,BS_Quarterly!$2:$51,BS!$A18,0)/1000</f>
        <v>6.6280000000000001</v>
      </c>
      <c r="L18" s="481">
        <f>HLOOKUP(L$2,BS_Quarterly!$2:$51,BS!$A18,0)/1000</f>
        <v>6.6282842000000004</v>
      </c>
      <c r="M18" s="481">
        <f>HLOOKUP(M$2,BS_Quarterly!$2:$51,BS!$A18,0)/1000</f>
        <v>6.6282842000000004</v>
      </c>
    </row>
    <row r="19" spans="1:13" ht="13.8" thickBot="1" x14ac:dyDescent="0.45">
      <c r="A19" s="142">
        <f>INDEX(BS_Quarterly!$A$2:$A$51,MATCH(BS!$F19,BS_Quarterly!$D$2:$D$51,0))</f>
        <v>48</v>
      </c>
      <c r="B19" s="188"/>
      <c r="C19" s="189" t="s">
        <v>122</v>
      </c>
      <c r="D19" s="439"/>
      <c r="E19" s="188"/>
      <c r="F19" s="189" t="s">
        <v>101</v>
      </c>
      <c r="G19" s="190"/>
      <c r="H19" s="481">
        <f>HLOOKUP(H$2,BS_Annually!$2:$51,BS!$A19,0)/1000</f>
        <v>204.230326494</v>
      </c>
      <c r="I19" s="481">
        <f>HLOOKUP(I$2,BS_Annually!$2:$51,BS!$A19,0)/1000</f>
        <v>270.98407803399999</v>
      </c>
      <c r="J19" s="481">
        <f>HLOOKUP(J$2,BS_Annually!$2:$51,BS!$A19,0)/1000</f>
        <v>336.05946764099997</v>
      </c>
      <c r="K19" s="481">
        <f>HLOOKUP(K$2,BS_Quarterly!$2:$51,BS!$A19,0)/1000</f>
        <v>349.04199999999997</v>
      </c>
      <c r="L19" s="481">
        <f>HLOOKUP(L$2,BS_Quarterly!$2:$51,BS!$A19,0)/1000</f>
        <v>375.51290363599998</v>
      </c>
      <c r="M19" s="481">
        <f>HLOOKUP(M$2,BS_Quarterly!$2:$51,BS!$A19,0)/1000</f>
        <v>408.5208184228191</v>
      </c>
    </row>
    <row r="20" spans="1:13" s="466" customFormat="1" ht="13.8" thickBot="1" x14ac:dyDescent="0.45">
      <c r="A20" s="795">
        <f>INDEX(BS_Quarterly!$A$2:$A$51,MATCH(BS!$F20,BS_Quarterly!$D$2:$D$51,0))</f>
        <v>42</v>
      </c>
      <c r="B20" s="473"/>
      <c r="C20" s="191" t="s">
        <v>123</v>
      </c>
      <c r="D20" s="475"/>
      <c r="E20" s="473"/>
      <c r="F20" s="191" t="s">
        <v>102</v>
      </c>
      <c r="G20" s="475"/>
      <c r="H20" s="488">
        <f>HLOOKUP(H$2,BS_Annually!$2:$51,BS!$A20,0)/1000</f>
        <v>229.55385716000001</v>
      </c>
      <c r="I20" s="488">
        <f>HLOOKUP(I$2,BS_Annually!$2:$51,BS!$A20,0)/1000</f>
        <v>283.50049966299997</v>
      </c>
      <c r="J20" s="488">
        <f>HLOOKUP(J$2,BS_Annually!$2:$51,BS!$A20,0)/1000</f>
        <v>452.64391475799999</v>
      </c>
      <c r="K20" s="488">
        <f>HLOOKUP(K$2,BS_Quarterly!$2:$51,BS!$A20,0)/1000</f>
        <v>466.75148369300001</v>
      </c>
      <c r="L20" s="488">
        <f>HLOOKUP(L$2,BS_Quarterly!$2:$51,BS!$A20,0)/1000</f>
        <v>494.73968288600003</v>
      </c>
      <c r="M20" s="488">
        <f>HLOOKUP(M$2,BS_Quarterly!$2:$51,BS!$A20,0)/1000</f>
        <v>518.35441884881902</v>
      </c>
    </row>
    <row r="21" spans="1:13" s="466" customFormat="1" x14ac:dyDescent="0.4">
      <c r="A21" s="795"/>
      <c r="B21" s="476"/>
      <c r="C21" s="192" t="s">
        <v>124</v>
      </c>
      <c r="D21" s="477"/>
      <c r="E21" s="476"/>
      <c r="F21" s="192" t="s">
        <v>103</v>
      </c>
      <c r="G21" s="193"/>
      <c r="H21" s="489">
        <f t="shared" ref="H21" si="12">H20+H16</f>
        <v>331.41110829900003</v>
      </c>
      <c r="I21" s="489">
        <f t="shared" ref="I21" si="13">I20+I16</f>
        <v>375.44302175399997</v>
      </c>
      <c r="J21" s="489">
        <f t="shared" ref="J21" si="14">J20+J16</f>
        <v>608.37880883100001</v>
      </c>
      <c r="K21" s="489">
        <f t="shared" ref="K21:L21" si="15">K20+K16</f>
        <v>631.905105693</v>
      </c>
      <c r="L21" s="489">
        <f t="shared" si="15"/>
        <v>626.55449929500003</v>
      </c>
      <c r="M21" s="489">
        <f t="shared" ref="M21" si="16">M20+M16</f>
        <v>654.40355809181904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0E22C-2E55-46D1-BB6E-6DC415AE025E}">
  <sheetPr>
    <tabColor theme="8" tint="0.79998168889431442"/>
    <pageSetUpPr fitToPage="1"/>
  </sheetPr>
  <dimension ref="A1:CO108"/>
  <sheetViews>
    <sheetView showGridLines="0" view="pageBreakPreview" zoomScaleNormal="100" zoomScaleSheetLayoutView="100" workbookViewId="0">
      <pane xSplit="3" ySplit="2" topLeftCell="BV6" activePane="bottomRight" state="frozen"/>
      <selection pane="topRight" activeCell="D1" sqref="D1"/>
      <selection pane="bottomLeft" activeCell="A3" sqref="A3"/>
      <selection pane="bottomRight" activeCell="CE12" sqref="CE12:CG35"/>
    </sheetView>
  </sheetViews>
  <sheetFormatPr defaultColWidth="8.69921875" defaultRowHeight="16.2" customHeight="1" outlineLevelRow="1" outlineLevelCol="1" x14ac:dyDescent="0.4"/>
  <cols>
    <col min="1" max="1" width="2.796875" style="156" bestFit="1" customWidth="1"/>
    <col min="2" max="2" width="14.19921875" style="6" customWidth="1"/>
    <col min="3" max="3" width="26.69921875" style="6" bestFit="1" customWidth="1"/>
    <col min="4" max="8" width="9.19921875" style="359" hidden="1" customWidth="1" outlineLevel="1"/>
    <col min="9" max="10" width="5.69921875" style="360" hidden="1" customWidth="1" outlineLevel="1"/>
    <col min="11" max="11" width="9.19921875" style="359" hidden="1" customWidth="1" outlineLevel="1"/>
    <col min="12" max="13" width="5.69921875" style="360" hidden="1" customWidth="1" outlineLevel="1"/>
    <col min="14" max="14" width="9.19921875" style="359" hidden="1" customWidth="1" outlineLevel="1"/>
    <col min="15" max="16" width="5.69921875" style="360" hidden="1" customWidth="1" outlineLevel="1"/>
    <col min="17" max="17" width="9.19921875" style="359" hidden="1" customWidth="1" outlineLevel="1"/>
    <col min="18" max="19" width="5.69921875" style="360" hidden="1" customWidth="1" outlineLevel="1"/>
    <col min="20" max="20" width="9.19921875" style="359" hidden="1" customWidth="1" outlineLevel="1"/>
    <col min="21" max="22" width="5.69921875" style="360" hidden="1" customWidth="1" outlineLevel="1"/>
    <col min="23" max="23" width="9.19921875" style="359" hidden="1" customWidth="1" outlineLevel="1"/>
    <col min="24" max="25" width="5.69921875" style="360" hidden="1" customWidth="1" outlineLevel="1"/>
    <col min="26" max="26" width="9.19921875" style="359" hidden="1" customWidth="1" outlineLevel="1"/>
    <col min="27" max="28" width="5.69921875" style="360" hidden="1" customWidth="1" outlineLevel="1"/>
    <col min="29" max="29" width="9.19921875" style="359" hidden="1" customWidth="1" outlineLevel="1"/>
    <col min="30" max="31" width="5.69921875" style="360" hidden="1" customWidth="1" outlineLevel="1"/>
    <col min="32" max="32" width="9.19921875" style="359" hidden="1" customWidth="1" outlineLevel="1"/>
    <col min="33" max="34" width="5.69921875" style="360" hidden="1" customWidth="1" outlineLevel="1"/>
    <col min="35" max="35" width="9.19921875" style="359" hidden="1" customWidth="1" outlineLevel="1"/>
    <col min="36" max="37" width="5.69921875" style="360" hidden="1" customWidth="1" outlineLevel="1"/>
    <col min="38" max="38" width="9.19921875" style="359" hidden="1" customWidth="1" outlineLevel="1"/>
    <col min="39" max="40" width="5.69921875" style="360" hidden="1" customWidth="1" outlineLevel="1"/>
    <col min="41" max="41" width="9.19921875" style="359" hidden="1" customWidth="1" outlineLevel="1"/>
    <col min="42" max="43" width="5.69921875" style="360" hidden="1" customWidth="1" outlineLevel="1"/>
    <col min="44" max="44" width="9.19921875" style="359" hidden="1" customWidth="1" outlineLevel="1"/>
    <col min="45" max="46" width="5.69921875" style="360" hidden="1" customWidth="1" outlineLevel="1"/>
    <col min="47" max="47" width="9.19921875" style="359" hidden="1" customWidth="1" outlineLevel="1"/>
    <col min="48" max="49" width="5.69921875" style="360" hidden="1" customWidth="1" outlineLevel="1"/>
    <col min="50" max="50" width="9.19921875" style="359" hidden="1" customWidth="1" outlineLevel="1"/>
    <col min="51" max="52" width="5.69921875" style="360" hidden="1" customWidth="1" outlineLevel="1"/>
    <col min="53" max="53" width="9.19921875" style="359" hidden="1" customWidth="1" outlineLevel="1"/>
    <col min="54" max="54" width="5.69921875" style="360" hidden="1" customWidth="1" outlineLevel="1"/>
    <col min="55" max="55" width="5.3984375" style="360" hidden="1" customWidth="1" outlineLevel="1"/>
    <col min="56" max="56" width="9.19921875" style="359" hidden="1" customWidth="1" outlineLevel="1"/>
    <col min="57" max="58" width="5.69921875" style="360" hidden="1" customWidth="1" outlineLevel="1"/>
    <col min="59" max="59" width="9.19921875" style="359" hidden="1" customWidth="1" outlineLevel="1"/>
    <col min="60" max="61" width="5.69921875" style="360" hidden="1" customWidth="1" outlineLevel="1"/>
    <col min="62" max="62" width="9.19921875" style="359" hidden="1" customWidth="1" outlineLevel="1"/>
    <col min="63" max="64" width="5.69921875" style="360" hidden="1" customWidth="1" outlineLevel="1"/>
    <col min="65" max="65" width="9.19921875" style="359" hidden="1" customWidth="1" outlineLevel="1"/>
    <col min="66" max="67" width="5.69921875" style="360" hidden="1" customWidth="1" outlineLevel="1"/>
    <col min="68" max="68" width="9.19921875" style="359" customWidth="1" collapsed="1"/>
    <col min="69" max="70" width="5.69921875" style="360" customWidth="1"/>
    <col min="71" max="71" width="9.19921875" style="359" customWidth="1"/>
    <col min="72" max="73" width="5.69921875" style="360" customWidth="1"/>
    <col min="74" max="74" width="9.19921875" style="359" customWidth="1"/>
    <col min="75" max="76" width="5.69921875" style="360" customWidth="1"/>
    <col min="77" max="77" width="9.19921875" style="359" customWidth="1"/>
    <col min="78" max="79" width="5.69921875" style="360" customWidth="1"/>
    <col min="80" max="80" width="9.19921875" style="359" customWidth="1"/>
    <col min="81" max="82" width="5.69921875" style="360" customWidth="1"/>
    <col min="83" max="83" width="9.19921875" style="359" customWidth="1"/>
    <col min="84" max="85" width="5.69921875" style="360" customWidth="1"/>
    <col min="86" max="86" width="10.19921875" style="359" bestFit="1" customWidth="1"/>
    <col min="87" max="88" width="5.69921875" style="360" customWidth="1"/>
    <col min="89" max="89" width="9.19921875" style="359" hidden="1" customWidth="1"/>
    <col min="90" max="91" width="5.69921875" style="360" hidden="1" customWidth="1"/>
    <col min="92" max="93" width="8.69921875" style="6"/>
    <col min="94" max="94" width="8.69921875" style="6" customWidth="1"/>
    <col min="95" max="16384" width="8.69921875" style="6"/>
  </cols>
  <sheetData>
    <row r="1" spans="1:93" ht="16.2" customHeight="1" thickBot="1" x14ac:dyDescent="0.45">
      <c r="A1" s="157"/>
      <c r="B1" s="4" t="s">
        <v>247</v>
      </c>
      <c r="C1" s="4"/>
      <c r="BY1" s="359" t="s">
        <v>405</v>
      </c>
    </row>
    <row r="2" spans="1:93" s="4" customFormat="1" ht="16.2" customHeight="1" x14ac:dyDescent="0.4">
      <c r="A2" s="156">
        <v>1</v>
      </c>
      <c r="B2" s="105" t="s">
        <v>500</v>
      </c>
      <c r="C2" s="106" t="s">
        <v>502</v>
      </c>
      <c r="D2" s="779" t="s">
        <v>331</v>
      </c>
      <c r="E2" s="780" t="s">
        <v>332</v>
      </c>
      <c r="F2" s="780" t="s">
        <v>333</v>
      </c>
      <c r="G2" s="781" t="s">
        <v>334</v>
      </c>
      <c r="H2" s="361" t="s">
        <v>335</v>
      </c>
      <c r="I2" s="362" t="s">
        <v>1</v>
      </c>
      <c r="J2" s="363" t="s">
        <v>0</v>
      </c>
      <c r="K2" s="364" t="s">
        <v>336</v>
      </c>
      <c r="L2" s="362" t="s">
        <v>1</v>
      </c>
      <c r="M2" s="363" t="s">
        <v>0</v>
      </c>
      <c r="N2" s="364" t="s">
        <v>337</v>
      </c>
      <c r="O2" s="362" t="s">
        <v>1</v>
      </c>
      <c r="P2" s="363" t="s">
        <v>0</v>
      </c>
      <c r="Q2" s="364" t="s">
        <v>338</v>
      </c>
      <c r="R2" s="362" t="s">
        <v>1</v>
      </c>
      <c r="S2" s="365" t="s">
        <v>0</v>
      </c>
      <c r="T2" s="361" t="s">
        <v>339</v>
      </c>
      <c r="U2" s="362" t="s">
        <v>1</v>
      </c>
      <c r="V2" s="363" t="s">
        <v>0</v>
      </c>
      <c r="W2" s="364" t="s">
        <v>340</v>
      </c>
      <c r="X2" s="362" t="s">
        <v>1</v>
      </c>
      <c r="Y2" s="363" t="s">
        <v>0</v>
      </c>
      <c r="Z2" s="364" t="s">
        <v>341</v>
      </c>
      <c r="AA2" s="362" t="s">
        <v>1</v>
      </c>
      <c r="AB2" s="363" t="s">
        <v>0</v>
      </c>
      <c r="AC2" s="364" t="s">
        <v>342</v>
      </c>
      <c r="AD2" s="362" t="s">
        <v>1</v>
      </c>
      <c r="AE2" s="365" t="s">
        <v>0</v>
      </c>
      <c r="AF2" s="361" t="s">
        <v>343</v>
      </c>
      <c r="AG2" s="362" t="s">
        <v>1</v>
      </c>
      <c r="AH2" s="363" t="s">
        <v>0</v>
      </c>
      <c r="AI2" s="364" t="s">
        <v>344</v>
      </c>
      <c r="AJ2" s="362" t="s">
        <v>1</v>
      </c>
      <c r="AK2" s="363" t="s">
        <v>0</v>
      </c>
      <c r="AL2" s="364" t="s">
        <v>345</v>
      </c>
      <c r="AM2" s="362" t="s">
        <v>1</v>
      </c>
      <c r="AN2" s="363" t="s">
        <v>0</v>
      </c>
      <c r="AO2" s="364" t="s">
        <v>346</v>
      </c>
      <c r="AP2" s="362" t="s">
        <v>1</v>
      </c>
      <c r="AQ2" s="365" t="s">
        <v>0</v>
      </c>
      <c r="AR2" s="361" t="s">
        <v>312</v>
      </c>
      <c r="AS2" s="362" t="s">
        <v>1</v>
      </c>
      <c r="AT2" s="363" t="s">
        <v>0</v>
      </c>
      <c r="AU2" s="364" t="s">
        <v>313</v>
      </c>
      <c r="AV2" s="362" t="s">
        <v>1</v>
      </c>
      <c r="AW2" s="363" t="s">
        <v>0</v>
      </c>
      <c r="AX2" s="364" t="s">
        <v>314</v>
      </c>
      <c r="AY2" s="362" t="s">
        <v>1</v>
      </c>
      <c r="AZ2" s="363" t="s">
        <v>0</v>
      </c>
      <c r="BA2" s="364" t="s">
        <v>315</v>
      </c>
      <c r="BB2" s="362" t="s">
        <v>1</v>
      </c>
      <c r="BC2" s="365" t="s">
        <v>0</v>
      </c>
      <c r="BD2" s="361" t="s">
        <v>316</v>
      </c>
      <c r="BE2" s="362" t="s">
        <v>1</v>
      </c>
      <c r="BF2" s="363" t="s">
        <v>0</v>
      </c>
      <c r="BG2" s="364" t="s">
        <v>317</v>
      </c>
      <c r="BH2" s="362" t="s">
        <v>1</v>
      </c>
      <c r="BI2" s="363" t="s">
        <v>0</v>
      </c>
      <c r="BJ2" s="364" t="s">
        <v>318</v>
      </c>
      <c r="BK2" s="362" t="s">
        <v>1</v>
      </c>
      <c r="BL2" s="363" t="s">
        <v>0</v>
      </c>
      <c r="BM2" s="364" t="s">
        <v>319</v>
      </c>
      <c r="BN2" s="362" t="s">
        <v>1</v>
      </c>
      <c r="BO2" s="365" t="s">
        <v>0</v>
      </c>
      <c r="BP2" s="361" t="s">
        <v>214</v>
      </c>
      <c r="BQ2" s="362" t="s">
        <v>1</v>
      </c>
      <c r="BR2" s="363" t="s">
        <v>0</v>
      </c>
      <c r="BS2" s="364" t="s">
        <v>235</v>
      </c>
      <c r="BT2" s="362" t="s">
        <v>1</v>
      </c>
      <c r="BU2" s="363" t="s">
        <v>0</v>
      </c>
      <c r="BV2" s="364" t="s">
        <v>236</v>
      </c>
      <c r="BW2" s="362" t="s">
        <v>1</v>
      </c>
      <c r="BX2" s="363" t="s">
        <v>0</v>
      </c>
      <c r="BY2" s="364" t="s">
        <v>237</v>
      </c>
      <c r="BZ2" s="362" t="s">
        <v>1</v>
      </c>
      <c r="CA2" s="365" t="s">
        <v>0</v>
      </c>
      <c r="CB2" s="361" t="s">
        <v>272</v>
      </c>
      <c r="CC2" s="362" t="s">
        <v>1</v>
      </c>
      <c r="CD2" s="363" t="s">
        <v>0</v>
      </c>
      <c r="CE2" s="364" t="s">
        <v>416</v>
      </c>
      <c r="CF2" s="362" t="s">
        <v>1</v>
      </c>
      <c r="CG2" s="363" t="s">
        <v>0</v>
      </c>
      <c r="CH2" s="364" t="s">
        <v>447</v>
      </c>
      <c r="CI2" s="362" t="s">
        <v>1</v>
      </c>
      <c r="CJ2" s="363" t="s">
        <v>0</v>
      </c>
      <c r="CK2" s="364"/>
      <c r="CL2" s="362" t="s">
        <v>1</v>
      </c>
      <c r="CM2" s="365" t="s">
        <v>0</v>
      </c>
    </row>
    <row r="3" spans="1:93" s="4" customFormat="1" ht="16.2" customHeight="1" x14ac:dyDescent="0.4">
      <c r="A3" s="156">
        <f>A2+1</f>
        <v>2</v>
      </c>
      <c r="B3" s="107" t="s">
        <v>45</v>
      </c>
      <c r="C3" s="108" t="s">
        <v>46</v>
      </c>
      <c r="D3" s="752">
        <v>1185.4449999999999</v>
      </c>
      <c r="E3" s="753">
        <v>1547.4580000000001</v>
      </c>
      <c r="F3" s="753">
        <v>1799.5840000000001</v>
      </c>
      <c r="G3" s="366">
        <v>1656.461</v>
      </c>
      <c r="H3" s="367">
        <v>1503.5239999999999</v>
      </c>
      <c r="I3" s="368">
        <f t="shared" ref="I3:I13" si="0">H3/G3-1</f>
        <v>-9.2327558572160795E-2</v>
      </c>
      <c r="J3" s="369">
        <f t="shared" ref="J3:J36" si="1">IFERROR(H3/D3-1,)</f>
        <v>0.2683203354014736</v>
      </c>
      <c r="K3" s="370">
        <v>2373.5590000000002</v>
      </c>
      <c r="L3" s="368">
        <f t="shared" ref="L3:L13" si="2">K3/H3-1</f>
        <v>0.57866385904049444</v>
      </c>
      <c r="M3" s="369">
        <f t="shared" ref="M3:M36" si="3">IFERROR(K3/E3-1,)</f>
        <v>0.53384389107814245</v>
      </c>
      <c r="N3" s="370">
        <v>1724.732</v>
      </c>
      <c r="O3" s="368">
        <f t="shared" ref="O3:O29" si="4">N3/K3-1</f>
        <v>-0.2733561710494663</v>
      </c>
      <c r="P3" s="369">
        <f t="shared" ref="P3:P36" si="5">IFERROR(N3/F3-1,)</f>
        <v>-4.1594057293241171E-2</v>
      </c>
      <c r="Q3" s="370">
        <v>2138.2089999999998</v>
      </c>
      <c r="R3" s="368">
        <f t="shared" ref="R3:R29" si="6">Q3/N3-1</f>
        <v>0.23973405723323959</v>
      </c>
      <c r="S3" s="371">
        <f t="shared" ref="S3:S36" si="7">IFERROR(Q3/G3-1,)</f>
        <v>0.29082966637910568</v>
      </c>
      <c r="T3" s="367">
        <v>1475.0540000000001</v>
      </c>
      <c r="U3" s="368">
        <f t="shared" ref="U3:U13" si="8">T3/Q3-1</f>
        <v>-0.31014507936314917</v>
      </c>
      <c r="V3" s="369">
        <f t="shared" ref="V3:V36" si="9">IFERROR(T3/H3-1,)</f>
        <v>-1.8935514165387302E-2</v>
      </c>
      <c r="W3" s="370">
        <v>2392.1410000000001</v>
      </c>
      <c r="X3" s="368">
        <f t="shared" ref="X3:X13" si="10">W3/T3-1</f>
        <v>0.62173113662279489</v>
      </c>
      <c r="Y3" s="369">
        <f t="shared" ref="Y3:Y36" si="11">IFERROR(W3/K3-1,)</f>
        <v>7.8287499910472125E-3</v>
      </c>
      <c r="Z3" s="370">
        <v>1546.5609999999999</v>
      </c>
      <c r="AA3" s="368">
        <f t="shared" ref="AA3:AA13" si="12">Z3/W3-1</f>
        <v>-0.35348250792908953</v>
      </c>
      <c r="AB3" s="369">
        <f t="shared" ref="AB3:AB36" si="13">IFERROR(Z3/N3-1,)</f>
        <v>-0.10330358571650555</v>
      </c>
      <c r="AC3" s="370">
        <v>2952.8919999999998</v>
      </c>
      <c r="AD3" s="368">
        <f t="shared" ref="AD3:AD13" si="14">AC3/Z3-1</f>
        <v>0.90932785709713349</v>
      </c>
      <c r="AE3" s="371">
        <f t="shared" ref="AE3:AE36" si="15">IFERROR(AC3/Q3-1,)</f>
        <v>0.38101186553793398</v>
      </c>
      <c r="AF3" s="367">
        <v>2328.0590000000002</v>
      </c>
      <c r="AG3" s="368">
        <f t="shared" ref="AG3:AG13" si="16">AF3/AC3-1</f>
        <v>-0.21160035653183373</v>
      </c>
      <c r="AH3" s="369">
        <f t="shared" ref="AH3:AH36" si="17">IFERROR(AF3/T3-1,)</f>
        <v>0.57828730338007972</v>
      </c>
      <c r="AI3" s="370">
        <v>2349.0909999999999</v>
      </c>
      <c r="AJ3" s="368">
        <f t="shared" ref="AJ3:AJ13" si="18">AI3/AF3-1</f>
        <v>9.0341353032719063E-3</v>
      </c>
      <c r="AK3" s="369">
        <f t="shared" ref="AK3:AK36" si="19">IFERROR(AI3/W3-1,)</f>
        <v>-1.7996430812397879E-2</v>
      </c>
      <c r="AL3" s="370">
        <v>2428.395</v>
      </c>
      <c r="AM3" s="368">
        <f t="shared" ref="AM3:AM13" si="20">AL3/AI3-1</f>
        <v>3.3759441417978264E-2</v>
      </c>
      <c r="AN3" s="369">
        <f t="shared" ref="AN3:AN36" si="21">IFERROR(AL3/Z3-1,)</f>
        <v>0.57019024791133366</v>
      </c>
      <c r="AO3" s="370">
        <v>2031.9</v>
      </c>
      <c r="AP3" s="368">
        <f t="shared" ref="AP3:AP13" si="22">AO3/AL3-1</f>
        <v>-0.16327450847164482</v>
      </c>
      <c r="AQ3" s="371">
        <f t="shared" ref="AQ3:AQ36" si="23">IFERROR(AO3/AC3-1,)</f>
        <v>-0.31189491522209412</v>
      </c>
      <c r="AR3" s="367">
        <v>2562.6559999999999</v>
      </c>
      <c r="AS3" s="368">
        <f t="shared" ref="AS3:AS13" si="24">AR3/AO3-1</f>
        <v>0.26121167380284449</v>
      </c>
      <c r="AT3" s="369">
        <f t="shared" ref="AT3:AT36" si="25">IFERROR(AR3/AF3-1,)</f>
        <v>0.10076935335401704</v>
      </c>
      <c r="AU3" s="370">
        <f>(2546211-40)/1000</f>
        <v>2546.1709999999998</v>
      </c>
      <c r="AV3" s="368">
        <f t="shared" ref="AV3:AV13" si="26">AU3/AR3-1</f>
        <v>-6.4327791166665094E-3</v>
      </c>
      <c r="AW3" s="369">
        <f t="shared" ref="AW3:AW36" si="27">IFERROR(AU3/AI3-1,)</f>
        <v>8.3896281582961141E-2</v>
      </c>
      <c r="AX3" s="370">
        <v>2828.20318</v>
      </c>
      <c r="AY3" s="368">
        <f t="shared" ref="AY3:AY13" si="28">AX3/AU3-1</f>
        <v>0.11076717942353453</v>
      </c>
      <c r="AZ3" s="369">
        <f t="shared" ref="AZ3:AZ36" si="29">IFERROR(AX3/AL3-1,)</f>
        <v>0.16463885817587331</v>
      </c>
      <c r="BA3" s="370">
        <v>2085.9335980000001</v>
      </c>
      <c r="BB3" s="368">
        <f t="shared" ref="BB3:BB13" si="30">BA3/AX3-1</f>
        <v>-0.26245270751728667</v>
      </c>
      <c r="BC3" s="371">
        <f t="shared" ref="BC3:BC36" si="31">IFERROR(BA3/AO3-1,)</f>
        <v>2.6592646291648148E-2</v>
      </c>
      <c r="BD3" s="367">
        <v>2200.024531</v>
      </c>
      <c r="BE3" s="368">
        <f>BD3/G3-1</f>
        <v>0.32814749698302581</v>
      </c>
      <c r="BF3" s="369">
        <f>IFERROR(BD3/D3-1,)</f>
        <v>0.85586385787615638</v>
      </c>
      <c r="BG3" s="370">
        <v>2437.2018930000004</v>
      </c>
      <c r="BH3" s="368">
        <f t="shared" ref="BH3:BH13" si="32">BG3/BD3-1</f>
        <v>0.1078066897245884</v>
      </c>
      <c r="BI3" s="369">
        <f>IFERROR(BG3/E3-1,)</f>
        <v>0.57497127094887235</v>
      </c>
      <c r="BJ3" s="370">
        <v>2533.015997</v>
      </c>
      <c r="BK3" s="368">
        <f t="shared" ref="BK3:BK13" si="33">BJ3/BG3-1</f>
        <v>3.9313158370339218E-2</v>
      </c>
      <c r="BL3" s="369">
        <f>IFERROR(BJ3/F3-1,)</f>
        <v>0.40755641137062781</v>
      </c>
      <c r="BM3" s="370">
        <v>2500.8490000000002</v>
      </c>
      <c r="BN3" s="368">
        <f t="shared" ref="BN3:BN13" si="34">BM3/BJ3-1</f>
        <v>-1.2699089558888321E-2</v>
      </c>
      <c r="BO3" s="371">
        <f>IFERROR(BM3/G3-1,)</f>
        <v>0.50975422904614121</v>
      </c>
      <c r="BP3" s="367">
        <v>2749.2179999999998</v>
      </c>
      <c r="BQ3" s="368">
        <f t="shared" ref="BQ3:BQ31" si="35">BP3/BM3-1</f>
        <v>9.9313873008726183E-2</v>
      </c>
      <c r="BR3" s="369">
        <f t="shared" ref="BR3:BR31" si="36">IFERROR(BP3/BD3-1,)</f>
        <v>0.24963061150521315</v>
      </c>
      <c r="BS3" s="370">
        <v>2864.951</v>
      </c>
      <c r="BT3" s="368">
        <f t="shared" ref="BT3:BT13" si="37">BS3/BP3-1</f>
        <v>4.2096698042861647E-2</v>
      </c>
      <c r="BU3" s="369">
        <f t="shared" ref="BU3:BU32" si="38">IFERROR(BS3/BG3-1,)</f>
        <v>0.175508277844588</v>
      </c>
      <c r="BV3" s="370">
        <v>3187.89</v>
      </c>
      <c r="BW3" s="368">
        <f t="shared" ref="BW3:BW13" si="39">BV3/BS3-1</f>
        <v>0.11272060150417929</v>
      </c>
      <c r="BX3" s="369">
        <f t="shared" ref="BX3:BX33" si="40">IFERROR(BV3/BJ3-1,)</f>
        <v>0.25853528117295976</v>
      </c>
      <c r="BY3" s="370">
        <v>3684.0839999999998</v>
      </c>
      <c r="BZ3" s="368">
        <f t="shared" ref="BZ3:BZ13" si="41">BY3/BV3-1</f>
        <v>0.15564966168845218</v>
      </c>
      <c r="CA3" s="371">
        <f t="shared" ref="CA3:CA33" si="42">IFERROR(BY3/BM3-1,)</f>
        <v>0.47313332392319563</v>
      </c>
      <c r="CB3" s="611">
        <v>3882</v>
      </c>
      <c r="CC3" s="368">
        <f t="shared" ref="CC3:CC33" si="43">CB3/BY3-1</f>
        <v>5.3721902106466768E-2</v>
      </c>
      <c r="CD3" s="369">
        <f t="shared" ref="CD3:CD36" si="44">IFERROR(CB3/BP3-1,)</f>
        <v>0.41203789586711581</v>
      </c>
      <c r="CE3" s="370">
        <v>3776.7</v>
      </c>
      <c r="CF3" s="368">
        <f>IFERROR(CE3/CB3-1,)</f>
        <v>-2.7125193199381781E-2</v>
      </c>
      <c r="CG3" s="369">
        <f t="shared" ref="CG3:CG8" si="45">IFERROR(CE3/BS3-1,)</f>
        <v>0.31824244114471756</v>
      </c>
      <c r="CH3" s="370">
        <v>4117.8119999999999</v>
      </c>
      <c r="CI3" s="368">
        <f t="shared" ref="CI3:CI8" si="46">CH3/CE3-1</f>
        <v>9.0320120740328802E-2</v>
      </c>
      <c r="CJ3" s="369">
        <f t="shared" ref="CJ3:CJ8" si="47">IFERROR(CH3/BV3-1,)</f>
        <v>0.29170454438515758</v>
      </c>
      <c r="CK3" s="370"/>
      <c r="CL3" s="368">
        <f t="shared" ref="CL3:CL29" si="48">CK3/CH3-1</f>
        <v>-1</v>
      </c>
      <c r="CM3" s="371">
        <f t="shared" ref="CM3:CM32" si="49">IFERROR(CK3/BY3-1,)</f>
        <v>-1</v>
      </c>
    </row>
    <row r="4" spans="1:93" s="4" customFormat="1" ht="16.2" customHeight="1" x14ac:dyDescent="0.4">
      <c r="A4" s="156">
        <f t="shared" ref="A4:A36" si="50">A3+1</f>
        <v>3</v>
      </c>
      <c r="B4" s="109" t="s">
        <v>53</v>
      </c>
      <c r="C4" s="108" t="s">
        <v>288</v>
      </c>
      <c r="D4" s="752">
        <v>462.74799999999999</v>
      </c>
      <c r="E4" s="753">
        <v>556.69600000000003</v>
      </c>
      <c r="F4" s="753">
        <v>411.26</v>
      </c>
      <c r="G4" s="366">
        <v>98.063999999999993</v>
      </c>
      <c r="H4" s="367">
        <v>319.90499999999997</v>
      </c>
      <c r="I4" s="368">
        <f t="shared" si="0"/>
        <v>2.262206314243759</v>
      </c>
      <c r="J4" s="369">
        <f t="shared" si="1"/>
        <v>-0.30868420825157539</v>
      </c>
      <c r="K4" s="370">
        <v>549.64499999999998</v>
      </c>
      <c r="L4" s="368">
        <f t="shared" si="2"/>
        <v>0.71815070098935641</v>
      </c>
      <c r="M4" s="369">
        <f t="shared" si="3"/>
        <v>-1.2665799646485731E-2</v>
      </c>
      <c r="N4" s="370">
        <v>524.95299999999997</v>
      </c>
      <c r="O4" s="368">
        <f t="shared" si="4"/>
        <v>-4.4923541558642421E-2</v>
      </c>
      <c r="P4" s="369">
        <f t="shared" si="5"/>
        <v>0.27645042065846415</v>
      </c>
      <c r="Q4" s="370">
        <v>529.09500000000003</v>
      </c>
      <c r="R4" s="368">
        <f t="shared" si="6"/>
        <v>7.8902301729870672E-3</v>
      </c>
      <c r="S4" s="371">
        <f t="shared" si="7"/>
        <v>4.3954050416054828</v>
      </c>
      <c r="T4" s="367">
        <v>401.61700000000002</v>
      </c>
      <c r="U4" s="368">
        <f t="shared" si="8"/>
        <v>-0.24093593778054978</v>
      </c>
      <c r="V4" s="369">
        <f t="shared" si="9"/>
        <v>0.25542582954314574</v>
      </c>
      <c r="W4" s="370">
        <v>651.76700000000005</v>
      </c>
      <c r="X4" s="368">
        <f t="shared" si="10"/>
        <v>0.62285710017255247</v>
      </c>
      <c r="Y4" s="369">
        <f t="shared" si="11"/>
        <v>0.18579628669413917</v>
      </c>
      <c r="Z4" s="370">
        <v>484.03699999999998</v>
      </c>
      <c r="AA4" s="368">
        <f t="shared" si="12"/>
        <v>-0.25734656710143355</v>
      </c>
      <c r="AB4" s="369">
        <f t="shared" si="13"/>
        <v>-7.794221577931737E-2</v>
      </c>
      <c r="AC4" s="370">
        <v>1577.6289999999999</v>
      </c>
      <c r="AD4" s="368">
        <f t="shared" si="14"/>
        <v>2.2593148870850781</v>
      </c>
      <c r="AE4" s="371">
        <f t="shared" si="15"/>
        <v>1.9817499692871787</v>
      </c>
      <c r="AF4" s="367">
        <v>800.79</v>
      </c>
      <c r="AG4" s="368">
        <f t="shared" si="16"/>
        <v>-0.4924091785838115</v>
      </c>
      <c r="AH4" s="369">
        <f t="shared" si="17"/>
        <v>0.9939146002285757</v>
      </c>
      <c r="AI4" s="370">
        <v>1685.097</v>
      </c>
      <c r="AJ4" s="368">
        <f t="shared" si="18"/>
        <v>1.1042932604053499</v>
      </c>
      <c r="AK4" s="369">
        <f t="shared" si="19"/>
        <v>1.585428535043965</v>
      </c>
      <c r="AL4" s="370">
        <v>1232.2919999999999</v>
      </c>
      <c r="AM4" s="368">
        <f t="shared" si="20"/>
        <v>-0.26871153411346649</v>
      </c>
      <c r="AN4" s="369">
        <f t="shared" si="21"/>
        <v>1.5458632294638632</v>
      </c>
      <c r="AO4" s="370">
        <v>982.41399999999999</v>
      </c>
      <c r="AP4" s="368">
        <f t="shared" si="22"/>
        <v>-0.20277499164159141</v>
      </c>
      <c r="AQ4" s="371">
        <f t="shared" si="23"/>
        <v>-0.37728451999804768</v>
      </c>
      <c r="AR4" s="367">
        <v>1092.835</v>
      </c>
      <c r="AS4" s="368">
        <f t="shared" si="24"/>
        <v>0.1123976246266849</v>
      </c>
      <c r="AT4" s="369">
        <f t="shared" si="25"/>
        <v>0.36469611258881862</v>
      </c>
      <c r="AU4" s="370">
        <v>1018.4201669999999</v>
      </c>
      <c r="AV4" s="368">
        <f t="shared" si="26"/>
        <v>-6.8093383722154011E-2</v>
      </c>
      <c r="AW4" s="369">
        <f t="shared" si="27"/>
        <v>-0.39563113162031627</v>
      </c>
      <c r="AX4" s="370">
        <v>1003.531417</v>
      </c>
      <c r="AY4" s="368">
        <f t="shared" si="28"/>
        <v>-1.4619457157705518E-2</v>
      </c>
      <c r="AZ4" s="369">
        <f t="shared" si="29"/>
        <v>-0.18563829270984467</v>
      </c>
      <c r="BA4" s="370">
        <v>1314.9905220000001</v>
      </c>
      <c r="BB4" s="368">
        <f t="shared" si="30"/>
        <v>0.31036308353064745</v>
      </c>
      <c r="BC4" s="371">
        <f t="shared" si="31"/>
        <v>0.33852990897931012</v>
      </c>
      <c r="BD4" s="367">
        <v>2115.6628559999999</v>
      </c>
      <c r="BE4" s="368">
        <f t="shared" ref="BE4:BE13" si="51">BD4/E4-1</f>
        <v>2.8003916967249625</v>
      </c>
      <c r="BF4" s="369">
        <f t="shared" ref="BF4" si="52">IFERROR(BD4/#REF!-1,)</f>
        <v>0</v>
      </c>
      <c r="BG4" s="370">
        <v>2282.4003980000002</v>
      </c>
      <c r="BH4" s="368">
        <f t="shared" si="32"/>
        <v>7.8811017325910004E-2</v>
      </c>
      <c r="BI4" s="369">
        <f t="shared" ref="BI4" si="53">IFERROR(BG4/#REF!-1,)</f>
        <v>0</v>
      </c>
      <c r="BJ4" s="370">
        <v>2213.2935150000003</v>
      </c>
      <c r="BK4" s="368">
        <f t="shared" si="33"/>
        <v>-3.027815937140399E-2</v>
      </c>
      <c r="BL4" s="369">
        <f t="shared" ref="BL4:BL32" si="54">IFERROR(BJ4/B4-1,)</f>
        <v>0</v>
      </c>
      <c r="BM4" s="370">
        <v>2589.2860000000001</v>
      </c>
      <c r="BN4" s="368">
        <f t="shared" si="34"/>
        <v>0.16987917890321014</v>
      </c>
      <c r="BO4" s="371">
        <f t="shared" ref="BO4:BO32" si="55">IFERROR(BM4/E4-1,)</f>
        <v>3.6511668846192533</v>
      </c>
      <c r="BP4" s="367">
        <v>2799.6509999999998</v>
      </c>
      <c r="BQ4" s="368">
        <f t="shared" si="35"/>
        <v>8.1244404828203498E-2</v>
      </c>
      <c r="BR4" s="369">
        <f t="shared" si="36"/>
        <v>0.32329732597054206</v>
      </c>
      <c r="BS4" s="370">
        <v>2824.2060000000001</v>
      </c>
      <c r="BT4" s="368">
        <f t="shared" si="37"/>
        <v>8.7707360667454992E-3</v>
      </c>
      <c r="BU4" s="369">
        <f t="shared" si="38"/>
        <v>0.23738411650942925</v>
      </c>
      <c r="BV4" s="370">
        <v>3075.951</v>
      </c>
      <c r="BW4" s="368">
        <f t="shared" si="39"/>
        <v>8.9138327728218059E-2</v>
      </c>
      <c r="BX4" s="369">
        <f t="shared" si="40"/>
        <v>0.389761899699959</v>
      </c>
      <c r="BY4" s="370">
        <v>3917.86</v>
      </c>
      <c r="BZ4" s="368">
        <f t="shared" si="41"/>
        <v>0.27370689585107177</v>
      </c>
      <c r="CA4" s="371">
        <f t="shared" si="42"/>
        <v>0.51310438476089559</v>
      </c>
      <c r="CB4" s="611">
        <v>4156</v>
      </c>
      <c r="CC4" s="368">
        <f t="shared" si="43"/>
        <v>6.0783182655837598E-2</v>
      </c>
      <c r="CD4" s="369">
        <f t="shared" si="44"/>
        <v>0.484470742960462</v>
      </c>
      <c r="CE4" s="370">
        <v>4241</v>
      </c>
      <c r="CF4" s="368">
        <f t="shared" ref="CF4:CF36" si="56">IFERROR(CE4/CB4-1,)</f>
        <v>2.0452358036573637E-2</v>
      </c>
      <c r="CG4" s="369">
        <f t="shared" si="45"/>
        <v>0.50166099781673146</v>
      </c>
      <c r="CH4" s="370">
        <v>4356.4250000000002</v>
      </c>
      <c r="CI4" s="368">
        <f t="shared" si="46"/>
        <v>2.7216458382457009E-2</v>
      </c>
      <c r="CJ4" s="369">
        <f t="shared" si="47"/>
        <v>0.41628556501712799</v>
      </c>
      <c r="CK4" s="370"/>
      <c r="CL4" s="368">
        <f t="shared" si="48"/>
        <v>-1</v>
      </c>
      <c r="CM4" s="371">
        <f t="shared" si="49"/>
        <v>-1</v>
      </c>
    </row>
    <row r="5" spans="1:93" s="4" customFormat="1" ht="16.2" customHeight="1" x14ac:dyDescent="0.4">
      <c r="A5" s="156">
        <f t="shared" si="50"/>
        <v>4</v>
      </c>
      <c r="B5" s="109" t="s">
        <v>56</v>
      </c>
      <c r="C5" s="108" t="s">
        <v>289</v>
      </c>
      <c r="D5" s="752">
        <v>238.93</v>
      </c>
      <c r="E5" s="753">
        <v>403.84800000000001</v>
      </c>
      <c r="F5" s="753">
        <v>287.24099999999999</v>
      </c>
      <c r="G5" s="366">
        <v>417.87</v>
      </c>
      <c r="H5" s="367">
        <v>674.73800000000006</v>
      </c>
      <c r="I5" s="368">
        <f t="shared" si="0"/>
        <v>0.6147079235168833</v>
      </c>
      <c r="J5" s="369">
        <f t="shared" si="1"/>
        <v>1.8239986606956013</v>
      </c>
      <c r="K5" s="370">
        <v>644.38800000000003</v>
      </c>
      <c r="L5" s="368">
        <f t="shared" si="2"/>
        <v>-4.498042203047703E-2</v>
      </c>
      <c r="M5" s="369">
        <f t="shared" si="3"/>
        <v>0.59562013430795746</v>
      </c>
      <c r="N5" s="370">
        <v>600.57799999999997</v>
      </c>
      <c r="O5" s="368">
        <f t="shared" si="4"/>
        <v>-6.7986989205261472E-2</v>
      </c>
      <c r="P5" s="369">
        <f t="shared" si="5"/>
        <v>1.0908505401387685</v>
      </c>
      <c r="Q5" s="370">
        <v>424.10899999999998</v>
      </c>
      <c r="R5" s="368">
        <f t="shared" si="6"/>
        <v>-0.2938319418959735</v>
      </c>
      <c r="S5" s="371">
        <f t="shared" si="7"/>
        <v>1.4930480771531807E-2</v>
      </c>
      <c r="T5" s="367">
        <v>267.22399999999999</v>
      </c>
      <c r="U5" s="368">
        <f t="shared" si="8"/>
        <v>-0.36991669594373144</v>
      </c>
      <c r="V5" s="369">
        <f t="shared" si="9"/>
        <v>-0.6039588699613776</v>
      </c>
      <c r="W5" s="370">
        <v>121.434</v>
      </c>
      <c r="X5" s="368">
        <f t="shared" si="10"/>
        <v>-0.54557225398916265</v>
      </c>
      <c r="Y5" s="369">
        <f t="shared" si="11"/>
        <v>-0.81155142553865067</v>
      </c>
      <c r="Z5" s="370">
        <v>201.03299999999999</v>
      </c>
      <c r="AA5" s="368">
        <f t="shared" si="12"/>
        <v>0.65549187212806959</v>
      </c>
      <c r="AB5" s="369">
        <f t="shared" si="13"/>
        <v>-0.6652674590144827</v>
      </c>
      <c r="AC5" s="370">
        <v>250.52699999999999</v>
      </c>
      <c r="AD5" s="368">
        <f t="shared" si="14"/>
        <v>0.24619838533972027</v>
      </c>
      <c r="AE5" s="371">
        <f t="shared" si="15"/>
        <v>-0.40928629196739519</v>
      </c>
      <c r="AF5" s="367">
        <v>799.553</v>
      </c>
      <c r="AG5" s="368">
        <f t="shared" si="16"/>
        <v>2.1914843509881172</v>
      </c>
      <c r="AH5" s="369">
        <f t="shared" si="17"/>
        <v>1.992070323024878</v>
      </c>
      <c r="AI5" s="370">
        <v>853.51</v>
      </c>
      <c r="AJ5" s="368">
        <f t="shared" si="18"/>
        <v>6.7483956660784106E-2</v>
      </c>
      <c r="AK5" s="369">
        <f t="shared" si="19"/>
        <v>6.0285916629609497</v>
      </c>
      <c r="AL5" s="370">
        <v>354.41300000000001</v>
      </c>
      <c r="AM5" s="368">
        <f t="shared" si="20"/>
        <v>-0.58475823364694024</v>
      </c>
      <c r="AN5" s="369">
        <f t="shared" si="21"/>
        <v>0.76295931513731596</v>
      </c>
      <c r="AO5" s="370">
        <v>2207.5970000000002</v>
      </c>
      <c r="AP5" s="368">
        <f t="shared" si="22"/>
        <v>5.2288826877117947</v>
      </c>
      <c r="AQ5" s="371">
        <f t="shared" si="23"/>
        <v>7.8118126988308667</v>
      </c>
      <c r="AR5" s="367">
        <v>1609.318</v>
      </c>
      <c r="AS5" s="368">
        <f t="shared" si="24"/>
        <v>-0.27100915610956178</v>
      </c>
      <c r="AT5" s="369">
        <f t="shared" si="25"/>
        <v>1.0127721364312308</v>
      </c>
      <c r="AU5" s="370">
        <v>2002.1937820000001</v>
      </c>
      <c r="AV5" s="368">
        <f t="shared" si="26"/>
        <v>0.24412563707110713</v>
      </c>
      <c r="AW5" s="369">
        <f t="shared" si="27"/>
        <v>1.3458351770922428</v>
      </c>
      <c r="AX5" s="370">
        <v>1112.29</v>
      </c>
      <c r="AY5" s="368">
        <f t="shared" si="28"/>
        <v>-0.44446436204145601</v>
      </c>
      <c r="AZ5" s="369">
        <f t="shared" si="29"/>
        <v>2.1384006794333161</v>
      </c>
      <c r="BA5" s="370">
        <v>1190.385599</v>
      </c>
      <c r="BB5" s="368">
        <f t="shared" si="30"/>
        <v>7.0211544651125113E-2</v>
      </c>
      <c r="BC5" s="371">
        <f t="shared" si="31"/>
        <v>-0.46077766956559563</v>
      </c>
      <c r="BD5" s="367">
        <v>1318.646467</v>
      </c>
      <c r="BE5" s="368">
        <f t="shared" si="51"/>
        <v>2.2652048963966642</v>
      </c>
      <c r="BF5" s="369">
        <f t="shared" ref="BF5" si="57">IFERROR(BD5/#REF!-1,)</f>
        <v>0</v>
      </c>
      <c r="BG5" s="370">
        <v>3702.8742579999998</v>
      </c>
      <c r="BH5" s="368">
        <f t="shared" si="32"/>
        <v>1.8080871944580124</v>
      </c>
      <c r="BI5" s="369">
        <f t="shared" ref="BI5" si="58">IFERROR(BG5/#REF!-1,)</f>
        <v>0</v>
      </c>
      <c r="BJ5" s="370">
        <v>1466.420235</v>
      </c>
      <c r="BK5" s="368">
        <f t="shared" si="33"/>
        <v>-0.60397784725424497</v>
      </c>
      <c r="BL5" s="369">
        <f t="shared" si="54"/>
        <v>0</v>
      </c>
      <c r="BM5" s="370">
        <v>2541.797</v>
      </c>
      <c r="BN5" s="368">
        <f t="shared" si="34"/>
        <v>0.73333464673583149</v>
      </c>
      <c r="BO5" s="371">
        <f t="shared" si="55"/>
        <v>5.2939447514906597</v>
      </c>
      <c r="BP5" s="367">
        <v>2227.27</v>
      </c>
      <c r="BQ5" s="368">
        <f t="shared" si="35"/>
        <v>-0.12374198254227231</v>
      </c>
      <c r="BR5" s="369">
        <f t="shared" si="36"/>
        <v>0.6890577237636506</v>
      </c>
      <c r="BS5" s="370">
        <v>2516.3539999999998</v>
      </c>
      <c r="BT5" s="368">
        <f t="shared" si="37"/>
        <v>0.12979297525670441</v>
      </c>
      <c r="BU5" s="369">
        <f t="shared" si="38"/>
        <v>-0.32043223056698245</v>
      </c>
      <c r="BV5" s="370">
        <v>4737.6229999999996</v>
      </c>
      <c r="BW5" s="368">
        <f t="shared" si="39"/>
        <v>0.88273311306755731</v>
      </c>
      <c r="BX5" s="369">
        <f t="shared" si="40"/>
        <v>2.2307403341307546</v>
      </c>
      <c r="BY5" s="370">
        <v>3339.4949999999999</v>
      </c>
      <c r="BZ5" s="368">
        <f t="shared" si="41"/>
        <v>-0.29511170475151771</v>
      </c>
      <c r="CA5" s="371">
        <f t="shared" si="42"/>
        <v>0.31383230053383482</v>
      </c>
      <c r="CB5" s="611">
        <v>3641</v>
      </c>
      <c r="CC5" s="368">
        <f t="shared" si="43"/>
        <v>9.0284608900447649E-2</v>
      </c>
      <c r="CD5" s="369">
        <f t="shared" si="44"/>
        <v>0.63473669559595391</v>
      </c>
      <c r="CE5" s="370">
        <v>2500.1</v>
      </c>
      <c r="CF5" s="368">
        <f t="shared" si="56"/>
        <v>-0.31334798132381214</v>
      </c>
      <c r="CG5" s="369">
        <f t="shared" si="45"/>
        <v>-6.4593455451815718E-3</v>
      </c>
      <c r="CH5" s="370">
        <v>5987.5140000000001</v>
      </c>
      <c r="CI5" s="368">
        <f t="shared" si="46"/>
        <v>1.394909803607856</v>
      </c>
      <c r="CJ5" s="369">
        <f t="shared" si="47"/>
        <v>0.26382238519189904</v>
      </c>
      <c r="CK5" s="370"/>
      <c r="CL5" s="368">
        <f t="shared" si="48"/>
        <v>-1</v>
      </c>
      <c r="CM5" s="371">
        <f t="shared" si="49"/>
        <v>-1</v>
      </c>
    </row>
    <row r="6" spans="1:93" s="4" customFormat="1" ht="16.2" customHeight="1" x14ac:dyDescent="0.4">
      <c r="A6" s="156">
        <f t="shared" si="50"/>
        <v>5</v>
      </c>
      <c r="B6" s="110" t="s">
        <v>181</v>
      </c>
      <c r="C6" s="111" t="s">
        <v>70</v>
      </c>
      <c r="D6" s="754">
        <v>425.714</v>
      </c>
      <c r="E6" s="755">
        <v>322.81099999999998</v>
      </c>
      <c r="F6" s="755">
        <v>325.20299999999997</v>
      </c>
      <c r="G6" s="372">
        <v>574.12699999999995</v>
      </c>
      <c r="H6" s="373">
        <v>630.08699999999999</v>
      </c>
      <c r="I6" s="374">
        <f t="shared" si="0"/>
        <v>9.7469723597740643E-2</v>
      </c>
      <c r="J6" s="375">
        <f t="shared" si="1"/>
        <v>0.48007112756451509</v>
      </c>
      <c r="K6" s="376">
        <v>744.29200000000003</v>
      </c>
      <c r="L6" s="374">
        <f t="shared" si="2"/>
        <v>0.18125274763643762</v>
      </c>
      <c r="M6" s="375">
        <f t="shared" si="3"/>
        <v>1.3056587291015487</v>
      </c>
      <c r="N6" s="376">
        <v>559.18799999999999</v>
      </c>
      <c r="O6" s="374">
        <f t="shared" si="4"/>
        <v>-0.24869809160920719</v>
      </c>
      <c r="P6" s="375">
        <f t="shared" si="5"/>
        <v>0.71950443261593544</v>
      </c>
      <c r="Q6" s="376">
        <v>607.34500000000003</v>
      </c>
      <c r="R6" s="374">
        <f t="shared" si="6"/>
        <v>8.6119516155568565E-2</v>
      </c>
      <c r="S6" s="377">
        <f t="shared" si="7"/>
        <v>5.7858278743204927E-2</v>
      </c>
      <c r="T6" s="373">
        <v>510.42599999999999</v>
      </c>
      <c r="U6" s="374">
        <f t="shared" si="8"/>
        <v>-0.15957816397599389</v>
      </c>
      <c r="V6" s="375">
        <f t="shared" si="9"/>
        <v>-0.1899118693132853</v>
      </c>
      <c r="W6" s="376">
        <v>600.53499999999997</v>
      </c>
      <c r="X6" s="374">
        <f t="shared" si="10"/>
        <v>0.17653685353018855</v>
      </c>
      <c r="Y6" s="375">
        <f t="shared" si="11"/>
        <v>-0.19314596959257935</v>
      </c>
      <c r="Z6" s="376">
        <v>580.43700000000001</v>
      </c>
      <c r="AA6" s="374">
        <f t="shared" si="12"/>
        <v>-3.3466825414005807E-2</v>
      </c>
      <c r="AB6" s="375">
        <f t="shared" si="13"/>
        <v>3.7999742483744381E-2</v>
      </c>
      <c r="AC6" s="376">
        <v>1134.396</v>
      </c>
      <c r="AD6" s="374">
        <f t="shared" si="14"/>
        <v>0.95438264617865487</v>
      </c>
      <c r="AE6" s="377">
        <f t="shared" si="15"/>
        <v>0.86779507528669853</v>
      </c>
      <c r="AF6" s="373">
        <v>523.947</v>
      </c>
      <c r="AG6" s="374">
        <f t="shared" si="16"/>
        <v>-0.53812689748553411</v>
      </c>
      <c r="AH6" s="375">
        <f t="shared" si="17"/>
        <v>2.6489638067026311E-2</v>
      </c>
      <c r="AI6" s="376">
        <v>461.858</v>
      </c>
      <c r="AJ6" s="374">
        <f t="shared" si="18"/>
        <v>-0.11850244394948339</v>
      </c>
      <c r="AK6" s="375">
        <f t="shared" si="19"/>
        <v>-0.23092242750214387</v>
      </c>
      <c r="AL6" s="376">
        <v>510.24200000000002</v>
      </c>
      <c r="AM6" s="374">
        <f t="shared" si="20"/>
        <v>0.10475947152588039</v>
      </c>
      <c r="AN6" s="375">
        <f t="shared" si="21"/>
        <v>-0.1209347439946109</v>
      </c>
      <c r="AO6" s="376">
        <v>768.73500000000001</v>
      </c>
      <c r="AP6" s="374">
        <f t="shared" si="22"/>
        <v>0.50660862884670399</v>
      </c>
      <c r="AQ6" s="377">
        <f t="shared" si="23"/>
        <v>-0.32233981784138865</v>
      </c>
      <c r="AR6" s="373">
        <v>949.16200000000003</v>
      </c>
      <c r="AS6" s="374">
        <f t="shared" si="24"/>
        <v>0.23470636825433999</v>
      </c>
      <c r="AT6" s="375">
        <f t="shared" si="25"/>
        <v>0.81156109301131618</v>
      </c>
      <c r="AU6" s="376">
        <v>1007.980763</v>
      </c>
      <c r="AV6" s="374">
        <f t="shared" si="26"/>
        <v>6.1969150682391394E-2</v>
      </c>
      <c r="AW6" s="375">
        <f t="shared" si="27"/>
        <v>1.1824473387924428</v>
      </c>
      <c r="AX6" s="376">
        <v>1128.6549869999999</v>
      </c>
      <c r="AY6" s="374">
        <f t="shared" si="28"/>
        <v>0.11971877681558474</v>
      </c>
      <c r="AZ6" s="375">
        <f t="shared" si="29"/>
        <v>1.2119993787261727</v>
      </c>
      <c r="BA6" s="376">
        <v>3590.6120690000002</v>
      </c>
      <c r="BB6" s="374">
        <f t="shared" si="30"/>
        <v>2.1813194557744868</v>
      </c>
      <c r="BC6" s="377">
        <f t="shared" si="31"/>
        <v>3.6708060241825855</v>
      </c>
      <c r="BD6" s="373">
        <v>1768.3492180000001</v>
      </c>
      <c r="BE6" s="374">
        <f t="shared" si="51"/>
        <v>4.4779707568825105</v>
      </c>
      <c r="BF6" s="375">
        <f t="shared" ref="BF6" si="59">IFERROR(BD6/#REF!-1,)</f>
        <v>0</v>
      </c>
      <c r="BG6" s="376">
        <v>1043.2570479999999</v>
      </c>
      <c r="BH6" s="374">
        <f t="shared" si="32"/>
        <v>-0.41003901413776067</v>
      </c>
      <c r="BI6" s="375">
        <f t="shared" ref="BI6" si="60">IFERROR(BG6/#REF!-1,)</f>
        <v>0</v>
      </c>
      <c r="BJ6" s="376">
        <v>1980.7433529999998</v>
      </c>
      <c r="BK6" s="374">
        <f t="shared" si="33"/>
        <v>0.89861487808515617</v>
      </c>
      <c r="BL6" s="375">
        <f t="shared" si="54"/>
        <v>0</v>
      </c>
      <c r="BM6" s="376">
        <v>2706.989</v>
      </c>
      <c r="BN6" s="374">
        <f t="shared" si="34"/>
        <v>0.36665307794674207</v>
      </c>
      <c r="BO6" s="377">
        <f t="shared" si="55"/>
        <v>7.3856776875633123</v>
      </c>
      <c r="BP6" s="373">
        <v>1694.518</v>
      </c>
      <c r="BQ6" s="374">
        <f t="shared" si="35"/>
        <v>-0.37402109871890876</v>
      </c>
      <c r="BR6" s="375">
        <f t="shared" si="36"/>
        <v>-4.1751491870764657E-2</v>
      </c>
      <c r="BS6" s="376">
        <v>3164.7350000000001</v>
      </c>
      <c r="BT6" s="374">
        <f t="shared" si="37"/>
        <v>0.86763138544412044</v>
      </c>
      <c r="BU6" s="375">
        <f t="shared" si="38"/>
        <v>2.0335141335177447</v>
      </c>
      <c r="BV6" s="376">
        <v>2169.672</v>
      </c>
      <c r="BW6" s="374">
        <f t="shared" si="39"/>
        <v>-0.3144222186059813</v>
      </c>
      <c r="BX6" s="375">
        <f t="shared" si="40"/>
        <v>9.5382698982102943E-2</v>
      </c>
      <c r="BY6" s="376">
        <v>3366.53</v>
      </c>
      <c r="BZ6" s="374">
        <f t="shared" si="41"/>
        <v>0.55163084558403308</v>
      </c>
      <c r="CA6" s="377">
        <f t="shared" si="42"/>
        <v>0.24364376803895404</v>
      </c>
      <c r="CB6" s="612">
        <v>2375</v>
      </c>
      <c r="CC6" s="374">
        <f t="shared" si="43"/>
        <v>-0.2945258173846661</v>
      </c>
      <c r="CD6" s="375">
        <f t="shared" si="44"/>
        <v>0.40157850196929146</v>
      </c>
      <c r="CE6" s="376">
        <v>1594</v>
      </c>
      <c r="CF6" s="374">
        <f t="shared" si="56"/>
        <v>-0.32884210526315794</v>
      </c>
      <c r="CG6" s="375">
        <f t="shared" si="45"/>
        <v>-0.49632433679281207</v>
      </c>
      <c r="CH6" s="376">
        <v>2175.5520000000001</v>
      </c>
      <c r="CI6" s="374">
        <f t="shared" si="46"/>
        <v>0.36483814303638651</v>
      </c>
      <c r="CJ6" s="375">
        <f t="shared" si="47"/>
        <v>2.71008705463327E-3</v>
      </c>
      <c r="CK6" s="376"/>
      <c r="CL6" s="374">
        <f t="shared" si="48"/>
        <v>-1</v>
      </c>
      <c r="CM6" s="377">
        <f t="shared" si="49"/>
        <v>-1</v>
      </c>
    </row>
    <row r="7" spans="1:93" s="4" customFormat="1" ht="16.2" customHeight="1" x14ac:dyDescent="0.4">
      <c r="A7" s="156">
        <f t="shared" si="50"/>
        <v>6</v>
      </c>
      <c r="B7" s="110" t="s">
        <v>177</v>
      </c>
      <c r="C7" s="111" t="s">
        <v>290</v>
      </c>
      <c r="D7" s="754">
        <v>382.60899999999998</v>
      </c>
      <c r="E7" s="755">
        <v>347.13600000000002</v>
      </c>
      <c r="F7" s="755">
        <v>338.3</v>
      </c>
      <c r="G7" s="372">
        <v>531.35299999999995</v>
      </c>
      <c r="H7" s="373">
        <v>399.54300000000001</v>
      </c>
      <c r="I7" s="374">
        <f t="shared" si="0"/>
        <v>-0.2480648457804886</v>
      </c>
      <c r="J7" s="375">
        <f t="shared" si="1"/>
        <v>4.4259282975570358E-2</v>
      </c>
      <c r="K7" s="376">
        <v>713.77</v>
      </c>
      <c r="L7" s="374">
        <f t="shared" si="2"/>
        <v>0.78646603744778409</v>
      </c>
      <c r="M7" s="375">
        <f t="shared" si="3"/>
        <v>1.0561681876843654</v>
      </c>
      <c r="N7" s="376">
        <v>345.31700000000001</v>
      </c>
      <c r="O7" s="374">
        <f t="shared" si="4"/>
        <v>-0.51620690138279834</v>
      </c>
      <c r="P7" s="375">
        <f t="shared" si="5"/>
        <v>2.074194501921367E-2</v>
      </c>
      <c r="Q7" s="376">
        <v>449.57400000000001</v>
      </c>
      <c r="R7" s="374">
        <f t="shared" si="6"/>
        <v>0.30191678950066181</v>
      </c>
      <c r="S7" s="377">
        <f t="shared" si="7"/>
        <v>-0.15390710130553498</v>
      </c>
      <c r="T7" s="373">
        <v>226.07599999999999</v>
      </c>
      <c r="U7" s="374">
        <f t="shared" si="8"/>
        <v>-0.49713284131199764</v>
      </c>
      <c r="V7" s="375">
        <f t="shared" si="9"/>
        <v>-0.43416353183512169</v>
      </c>
      <c r="W7" s="376">
        <v>288.98</v>
      </c>
      <c r="X7" s="374">
        <f t="shared" si="10"/>
        <v>0.27824271483925767</v>
      </c>
      <c r="Y7" s="375">
        <f t="shared" si="11"/>
        <v>-0.59513568796671201</v>
      </c>
      <c r="Z7" s="376">
        <v>181.46600000000001</v>
      </c>
      <c r="AA7" s="374">
        <f t="shared" si="12"/>
        <v>-0.37204650840888642</v>
      </c>
      <c r="AB7" s="375">
        <f t="shared" si="13"/>
        <v>-0.47449445002707658</v>
      </c>
      <c r="AC7" s="376">
        <v>229.98</v>
      </c>
      <c r="AD7" s="374">
        <f t="shared" si="14"/>
        <v>0.26734484696857796</v>
      </c>
      <c r="AE7" s="377">
        <f t="shared" si="15"/>
        <v>-0.48844906511497554</v>
      </c>
      <c r="AF7" s="373">
        <v>186.137</v>
      </c>
      <c r="AG7" s="374">
        <f t="shared" si="16"/>
        <v>-0.1906383163753369</v>
      </c>
      <c r="AH7" s="375">
        <f t="shared" si="17"/>
        <v>-0.17666183053486439</v>
      </c>
      <c r="AI7" s="376">
        <v>281.23899999999998</v>
      </c>
      <c r="AJ7" s="374">
        <f t="shared" si="18"/>
        <v>0.51092474897521711</v>
      </c>
      <c r="AK7" s="375">
        <f t="shared" si="19"/>
        <v>-2.67873209218632E-2</v>
      </c>
      <c r="AL7" s="376">
        <v>169.61099999999999</v>
      </c>
      <c r="AM7" s="374">
        <f t="shared" si="20"/>
        <v>-0.39691507934532544</v>
      </c>
      <c r="AN7" s="375">
        <f t="shared" si="21"/>
        <v>-6.5329042355041778E-2</v>
      </c>
      <c r="AO7" s="376">
        <v>77.727000000000004</v>
      </c>
      <c r="AP7" s="374">
        <f t="shared" si="22"/>
        <v>-0.54173373189238894</v>
      </c>
      <c r="AQ7" s="377">
        <f t="shared" si="23"/>
        <v>-0.66202713279415604</v>
      </c>
      <c r="AR7" s="373">
        <v>1687.354</v>
      </c>
      <c r="AS7" s="374">
        <f t="shared" si="24"/>
        <v>20.708724124178215</v>
      </c>
      <c r="AT7" s="375">
        <f t="shared" si="25"/>
        <v>8.0651187028908815</v>
      </c>
      <c r="AU7" s="376">
        <v>1004.6254449999998</v>
      </c>
      <c r="AV7" s="374">
        <f t="shared" si="26"/>
        <v>-0.40461489112539528</v>
      </c>
      <c r="AW7" s="375">
        <f t="shared" si="27"/>
        <v>2.5721412926372227</v>
      </c>
      <c r="AX7" s="376">
        <v>487.683335</v>
      </c>
      <c r="AY7" s="374">
        <f t="shared" si="28"/>
        <v>-0.51456203162363656</v>
      </c>
      <c r="AZ7" s="375">
        <f t="shared" si="29"/>
        <v>1.8753048740942511</v>
      </c>
      <c r="BA7" s="376">
        <v>646.59671800000001</v>
      </c>
      <c r="BB7" s="374">
        <f t="shared" si="30"/>
        <v>0.32585362589845324</v>
      </c>
      <c r="BC7" s="377">
        <f t="shared" si="31"/>
        <v>7.3188173736282121</v>
      </c>
      <c r="BD7" s="373">
        <v>578.01816399999996</v>
      </c>
      <c r="BE7" s="374">
        <f t="shared" si="51"/>
        <v>0.66510579139011772</v>
      </c>
      <c r="BF7" s="375">
        <f t="shared" ref="BF7" si="61">IFERROR(BD7/#REF!-1,)</f>
        <v>0</v>
      </c>
      <c r="BG7" s="376">
        <v>748.22561899999994</v>
      </c>
      <c r="BH7" s="374">
        <f t="shared" si="32"/>
        <v>0.29446731193035647</v>
      </c>
      <c r="BI7" s="375">
        <f t="shared" ref="BI7" si="62">IFERROR(BG7/#REF!-1,)</f>
        <v>0</v>
      </c>
      <c r="BJ7" s="376">
        <v>1013.457814</v>
      </c>
      <c r="BK7" s="374">
        <f t="shared" si="33"/>
        <v>0.35448157382592926</v>
      </c>
      <c r="BL7" s="375">
        <f t="shared" si="54"/>
        <v>0</v>
      </c>
      <c r="BM7" s="376">
        <v>855.827</v>
      </c>
      <c r="BN7" s="374">
        <f t="shared" si="34"/>
        <v>-0.15553761767137553</v>
      </c>
      <c r="BO7" s="377">
        <f t="shared" si="55"/>
        <v>1.4653939666297933</v>
      </c>
      <c r="BP7" s="373">
        <v>800.01700000000005</v>
      </c>
      <c r="BQ7" s="374">
        <f t="shared" si="35"/>
        <v>-6.5211777613933597E-2</v>
      </c>
      <c r="BR7" s="375">
        <f t="shared" si="36"/>
        <v>0.38406896154218462</v>
      </c>
      <c r="BS7" s="376">
        <v>1167.424</v>
      </c>
      <c r="BT7" s="374">
        <f t="shared" si="37"/>
        <v>0.45924899095894189</v>
      </c>
      <c r="BU7" s="375">
        <f t="shared" si="38"/>
        <v>0.56025665301364147</v>
      </c>
      <c r="BV7" s="376">
        <v>841.40700000000004</v>
      </c>
      <c r="BW7" s="374">
        <f t="shared" si="39"/>
        <v>-0.27926186201414394</v>
      </c>
      <c r="BX7" s="375">
        <f t="shared" si="40"/>
        <v>-0.16976613295913667</v>
      </c>
      <c r="BY7" s="376">
        <v>614.91800000000001</v>
      </c>
      <c r="BZ7" s="374">
        <f t="shared" si="41"/>
        <v>-0.26917888726858707</v>
      </c>
      <c r="CA7" s="377">
        <f t="shared" si="42"/>
        <v>-0.28149263811494607</v>
      </c>
      <c r="CB7" s="612">
        <v>1531</v>
      </c>
      <c r="CC7" s="374">
        <f t="shared" si="43"/>
        <v>1.4897628626906352</v>
      </c>
      <c r="CD7" s="375">
        <f t="shared" si="44"/>
        <v>0.9137093336766593</v>
      </c>
      <c r="CE7" s="376">
        <v>1785.7</v>
      </c>
      <c r="CF7" s="374">
        <f t="shared" si="56"/>
        <v>0.16636185499673428</v>
      </c>
      <c r="CG7" s="375">
        <f t="shared" si="45"/>
        <v>0.52960706649854727</v>
      </c>
      <c r="CH7" s="376">
        <v>1130.4670000000001</v>
      </c>
      <c r="CI7" s="374">
        <f t="shared" si="46"/>
        <v>-0.36693341546732372</v>
      </c>
      <c r="CJ7" s="375">
        <f t="shared" si="47"/>
        <v>0.34354361206883244</v>
      </c>
      <c r="CK7" s="376"/>
      <c r="CL7" s="374">
        <f t="shared" si="48"/>
        <v>-1</v>
      </c>
      <c r="CM7" s="377">
        <f t="shared" si="49"/>
        <v>-1</v>
      </c>
    </row>
    <row r="8" spans="1:93" s="4" customFormat="1" ht="16.2" customHeight="1" x14ac:dyDescent="0.4">
      <c r="A8" s="156">
        <f t="shared" si="50"/>
        <v>7</v>
      </c>
      <c r="B8" s="110" t="s">
        <v>51</v>
      </c>
      <c r="C8" s="111" t="s">
        <v>52</v>
      </c>
      <c r="D8" s="754">
        <v>118.205</v>
      </c>
      <c r="E8" s="755">
        <v>112.83799999999999</v>
      </c>
      <c r="F8" s="755">
        <v>117.667</v>
      </c>
      <c r="G8" s="372">
        <v>123.944</v>
      </c>
      <c r="H8" s="373">
        <v>163.857</v>
      </c>
      <c r="I8" s="374">
        <f t="shared" si="0"/>
        <v>0.3220244626605564</v>
      </c>
      <c r="J8" s="375">
        <f t="shared" si="1"/>
        <v>0.38621039719132022</v>
      </c>
      <c r="K8" s="376">
        <v>186.45400000000001</v>
      </c>
      <c r="L8" s="374">
        <f t="shared" si="2"/>
        <v>0.13790683339741361</v>
      </c>
      <c r="M8" s="375">
        <f t="shared" si="3"/>
        <v>0.65240433187401425</v>
      </c>
      <c r="N8" s="376">
        <v>176.73500000000001</v>
      </c>
      <c r="O8" s="374">
        <f t="shared" si="4"/>
        <v>-5.2125457217329751E-2</v>
      </c>
      <c r="P8" s="375">
        <f t="shared" si="5"/>
        <v>0.50199291220138198</v>
      </c>
      <c r="Q8" s="376">
        <v>138.09800000000001</v>
      </c>
      <c r="R8" s="374">
        <f t="shared" si="6"/>
        <v>-0.21861544119727272</v>
      </c>
      <c r="S8" s="377">
        <f t="shared" si="7"/>
        <v>0.1141967340089074</v>
      </c>
      <c r="T8" s="373">
        <v>183.422</v>
      </c>
      <c r="U8" s="374">
        <f t="shared" si="8"/>
        <v>0.3282017118278322</v>
      </c>
      <c r="V8" s="375">
        <f t="shared" si="9"/>
        <v>0.11940289398682991</v>
      </c>
      <c r="W8" s="376">
        <v>185.21799999999999</v>
      </c>
      <c r="X8" s="374">
        <f t="shared" si="10"/>
        <v>9.7916280489798169E-3</v>
      </c>
      <c r="Y8" s="375">
        <f t="shared" si="11"/>
        <v>-6.6289808746393675E-3</v>
      </c>
      <c r="Z8" s="376">
        <v>170.625</v>
      </c>
      <c r="AA8" s="374">
        <f t="shared" si="12"/>
        <v>-7.8788238724098014E-2</v>
      </c>
      <c r="AB8" s="375">
        <f t="shared" si="13"/>
        <v>-3.457153365207799E-2</v>
      </c>
      <c r="AC8" s="376">
        <v>200.37299999999999</v>
      </c>
      <c r="AD8" s="374">
        <f t="shared" si="14"/>
        <v>0.17434725274725271</v>
      </c>
      <c r="AE8" s="377">
        <f t="shared" si="15"/>
        <v>0.45094787759417199</v>
      </c>
      <c r="AF8" s="373">
        <v>211.79900000000001</v>
      </c>
      <c r="AG8" s="374">
        <f t="shared" si="16"/>
        <v>5.7023650891088185E-2</v>
      </c>
      <c r="AH8" s="375">
        <f t="shared" si="17"/>
        <v>0.15470881355562582</v>
      </c>
      <c r="AI8" s="376">
        <v>234.00800000000001</v>
      </c>
      <c r="AJ8" s="374">
        <f t="shared" si="18"/>
        <v>0.10485885202479706</v>
      </c>
      <c r="AK8" s="375">
        <f t="shared" si="19"/>
        <v>0.26341932209612473</v>
      </c>
      <c r="AL8" s="376">
        <v>247.43100000000001</v>
      </c>
      <c r="AM8" s="374">
        <f t="shared" si="20"/>
        <v>5.7361286793613964E-2</v>
      </c>
      <c r="AN8" s="375">
        <f t="shared" si="21"/>
        <v>0.45014505494505497</v>
      </c>
      <c r="AO8" s="376">
        <v>263.61399999999998</v>
      </c>
      <c r="AP8" s="374">
        <f t="shared" si="22"/>
        <v>6.5404092454057761E-2</v>
      </c>
      <c r="AQ8" s="377">
        <f t="shared" si="23"/>
        <v>0.3156163754597674</v>
      </c>
      <c r="AR8" s="373">
        <v>372.00599999999997</v>
      </c>
      <c r="AS8" s="374">
        <f t="shared" si="24"/>
        <v>0.41117694811352967</v>
      </c>
      <c r="AT8" s="375">
        <f t="shared" si="25"/>
        <v>0.7564105590677952</v>
      </c>
      <c r="AU8" s="376">
        <v>375.74756200000002</v>
      </c>
      <c r="AV8" s="374">
        <f t="shared" si="26"/>
        <v>1.00578001430085E-2</v>
      </c>
      <c r="AW8" s="375">
        <f t="shared" si="27"/>
        <v>0.60570391610543228</v>
      </c>
      <c r="AX8" s="376">
        <v>279.53081099999997</v>
      </c>
      <c r="AY8" s="374">
        <f t="shared" si="28"/>
        <v>-0.25606753238228608</v>
      </c>
      <c r="AZ8" s="375">
        <f t="shared" si="29"/>
        <v>0.12973237387392822</v>
      </c>
      <c r="BA8" s="376">
        <v>402.86607600000002</v>
      </c>
      <c r="BB8" s="374">
        <f t="shared" si="30"/>
        <v>0.44122243468896194</v>
      </c>
      <c r="BC8" s="377">
        <f t="shared" si="31"/>
        <v>0.52824233917773733</v>
      </c>
      <c r="BD8" s="373">
        <v>437.11958600000003</v>
      </c>
      <c r="BE8" s="374">
        <f t="shared" si="51"/>
        <v>2.8738686080930189</v>
      </c>
      <c r="BF8" s="375">
        <f t="shared" ref="BF8" si="63">IFERROR(BD8/#REF!-1,)</f>
        <v>0</v>
      </c>
      <c r="BG8" s="376">
        <v>469.51039000000003</v>
      </c>
      <c r="BH8" s="374">
        <f t="shared" si="32"/>
        <v>7.4100555173933547E-2</v>
      </c>
      <c r="BI8" s="375">
        <f t="shared" ref="BI8" si="64">IFERROR(BG8/#REF!-1,)</f>
        <v>0</v>
      </c>
      <c r="BJ8" s="376">
        <v>517.76484499999992</v>
      </c>
      <c r="BK8" s="374">
        <f t="shared" si="33"/>
        <v>0.10277611747846493</v>
      </c>
      <c r="BL8" s="375">
        <f t="shared" si="54"/>
        <v>0</v>
      </c>
      <c r="BM8" s="376">
        <v>548.07799999999997</v>
      </c>
      <c r="BN8" s="374">
        <f t="shared" si="34"/>
        <v>5.8546182292465332E-2</v>
      </c>
      <c r="BO8" s="377">
        <f t="shared" si="55"/>
        <v>3.8572112231694993</v>
      </c>
      <c r="BP8" s="373">
        <v>572.452</v>
      </c>
      <c r="BQ8" s="374">
        <f t="shared" si="35"/>
        <v>4.4471772265991305E-2</v>
      </c>
      <c r="BR8" s="375">
        <f t="shared" si="36"/>
        <v>0.30960043506263735</v>
      </c>
      <c r="BS8" s="376">
        <v>586.39400000000001</v>
      </c>
      <c r="BT8" s="374">
        <f t="shared" si="37"/>
        <v>2.4354880409187096E-2</v>
      </c>
      <c r="BU8" s="375">
        <f t="shared" si="38"/>
        <v>0.24894786673410985</v>
      </c>
      <c r="BV8" s="376">
        <v>602.23500000000001</v>
      </c>
      <c r="BW8" s="374">
        <f t="shared" si="39"/>
        <v>2.7014260036767102E-2</v>
      </c>
      <c r="BX8" s="375">
        <f t="shared" si="40"/>
        <v>0.16314385925525721</v>
      </c>
      <c r="BY8" s="376">
        <v>813.76900000000001</v>
      </c>
      <c r="BZ8" s="374">
        <f t="shared" si="41"/>
        <v>0.35124826687256627</v>
      </c>
      <c r="CA8" s="377">
        <f t="shared" si="42"/>
        <v>0.48476859133189087</v>
      </c>
      <c r="CB8" s="612">
        <v>725</v>
      </c>
      <c r="CC8" s="374">
        <f t="shared" si="43"/>
        <v>-0.10908378176116318</v>
      </c>
      <c r="CD8" s="375">
        <f t="shared" si="44"/>
        <v>0.26648173121938612</v>
      </c>
      <c r="CE8" s="376">
        <v>749.7</v>
      </c>
      <c r="CF8" s="374">
        <f t="shared" si="56"/>
        <v>3.4068965517241478E-2</v>
      </c>
      <c r="CG8" s="375">
        <f t="shared" si="45"/>
        <v>0.27849193545636552</v>
      </c>
      <c r="CH8" s="376">
        <v>779.82899999999995</v>
      </c>
      <c r="CI8" s="374">
        <f t="shared" si="46"/>
        <v>4.0188075230091824E-2</v>
      </c>
      <c r="CJ8" s="375">
        <f t="shared" si="47"/>
        <v>0.29489152905427263</v>
      </c>
      <c r="CK8" s="376"/>
      <c r="CL8" s="374">
        <f t="shared" si="48"/>
        <v>-1</v>
      </c>
      <c r="CM8" s="377">
        <f t="shared" si="49"/>
        <v>-1</v>
      </c>
    </row>
    <row r="9" spans="1:93" s="4" customFormat="1" ht="16.2" customHeight="1" x14ac:dyDescent="0.4">
      <c r="A9" s="156">
        <f t="shared" si="50"/>
        <v>8</v>
      </c>
      <c r="B9" s="110" t="s">
        <v>243</v>
      </c>
      <c r="C9" s="111" t="s">
        <v>304</v>
      </c>
      <c r="D9" s="754">
        <v>4.8259999999999996</v>
      </c>
      <c r="E9" s="755">
        <v>5.774</v>
      </c>
      <c r="F9" s="755">
        <v>5.891</v>
      </c>
      <c r="G9" s="372">
        <v>6.93</v>
      </c>
      <c r="H9" s="373">
        <v>7.819</v>
      </c>
      <c r="I9" s="374">
        <f>H9/G9-1</f>
        <v>0.12828282828282833</v>
      </c>
      <c r="J9" s="375">
        <f>IFERROR(H9/D9-1,)</f>
        <v>0.62018234562784924</v>
      </c>
      <c r="K9" s="376">
        <v>10.28</v>
      </c>
      <c r="L9" s="374">
        <f>K9/H9-1</f>
        <v>0.31474613121882578</v>
      </c>
      <c r="M9" s="375">
        <f>IFERROR(K9/E9-1,)</f>
        <v>0.78039487357118098</v>
      </c>
      <c r="N9" s="376">
        <v>17.672999999999998</v>
      </c>
      <c r="O9" s="374">
        <f>N9/K9-1</f>
        <v>0.71916342412451351</v>
      </c>
      <c r="P9" s="375">
        <f>IFERROR(N9/F9-1,)</f>
        <v>1.9999999999999996</v>
      </c>
      <c r="Q9" s="376">
        <v>11.926</v>
      </c>
      <c r="R9" s="374">
        <f>Q9/N9-1</f>
        <v>-0.32518531092627168</v>
      </c>
      <c r="S9" s="377">
        <f>IFERROR(Q9/G9-1,)</f>
        <v>0.72092352092352097</v>
      </c>
      <c r="T9" s="373">
        <v>21.866</v>
      </c>
      <c r="U9" s="374">
        <f>T9/Q9-1</f>
        <v>0.83347308401811171</v>
      </c>
      <c r="V9" s="375">
        <f>IFERROR(T9/H9-1,)</f>
        <v>1.7965212942831563</v>
      </c>
      <c r="W9" s="376">
        <v>15.798</v>
      </c>
      <c r="X9" s="374">
        <f>W9/T9-1</f>
        <v>-0.27750846062379952</v>
      </c>
      <c r="Y9" s="375">
        <f>IFERROR(W9/K9-1,)</f>
        <v>0.53677042801556429</v>
      </c>
      <c r="Z9" s="376">
        <v>19.353999999999999</v>
      </c>
      <c r="AA9" s="374">
        <f>Z9/W9-1</f>
        <v>0.22509178377009742</v>
      </c>
      <c r="AB9" s="375">
        <f>IFERROR(Z9/N9-1,)</f>
        <v>9.5116844904656883E-2</v>
      </c>
      <c r="AC9" s="376">
        <v>23.152000000000001</v>
      </c>
      <c r="AD9" s="374">
        <f>AC9/Z9-1</f>
        <v>0.19623850366849238</v>
      </c>
      <c r="AE9" s="377">
        <f>IFERROR(AC9/Q9-1,)</f>
        <v>0.94130471239309088</v>
      </c>
      <c r="AF9" s="373">
        <v>33.146999999999998</v>
      </c>
      <c r="AG9" s="374">
        <f>AF9/AC9-1</f>
        <v>0.43171216309606075</v>
      </c>
      <c r="AH9" s="375">
        <f>IFERROR(AF9/T9-1,)</f>
        <v>0.51591511936339507</v>
      </c>
      <c r="AI9" s="376">
        <v>16.832999999999998</v>
      </c>
      <c r="AJ9" s="374">
        <f>AI9/AF9-1</f>
        <v>-0.49217123721603773</v>
      </c>
      <c r="AK9" s="375">
        <f>IFERROR(AI9/W9-1,)</f>
        <v>6.5514622104063669E-2</v>
      </c>
      <c r="AL9" s="376">
        <v>26.364999999999998</v>
      </c>
      <c r="AM9" s="374">
        <f>AL9/AI9-1</f>
        <v>0.56626863898295032</v>
      </c>
      <c r="AN9" s="375">
        <f>IFERROR(AL9/Z9-1,)</f>
        <v>0.36225069753022621</v>
      </c>
      <c r="AO9" s="376">
        <v>31.206</v>
      </c>
      <c r="AP9" s="374">
        <f>AO9/AL9-1</f>
        <v>0.18361464062203692</v>
      </c>
      <c r="AQ9" s="377">
        <f>IFERROR(AO9/AC9-1,)</f>
        <v>0.34787491361437439</v>
      </c>
      <c r="AR9" s="373">
        <v>35.301000000000002</v>
      </c>
      <c r="AS9" s="374">
        <f>AR9/AO9-1</f>
        <v>0.1312247644683715</v>
      </c>
      <c r="AT9" s="375">
        <f>IFERROR(AR9/AF9-1,)</f>
        <v>6.4983256403294609E-2</v>
      </c>
      <c r="AU9" s="376">
        <v>37.984362999999995</v>
      </c>
      <c r="AV9" s="374">
        <f>AU9/AR9-1</f>
        <v>7.601379564318278E-2</v>
      </c>
      <c r="AW9" s="375">
        <f>IFERROR(AU9/AI9-1,)</f>
        <v>1.2565414958712053</v>
      </c>
      <c r="AX9" s="376">
        <v>42.473999999999997</v>
      </c>
      <c r="AY9" s="374">
        <f>AX9/AU9-1</f>
        <v>0.11819698016260016</v>
      </c>
      <c r="AZ9" s="375">
        <f>IFERROR(AX9/AL9-1,)</f>
        <v>0.61099943106391041</v>
      </c>
      <c r="BA9" s="376">
        <v>47.204267999999999</v>
      </c>
      <c r="BB9" s="374">
        <f>BA9/AX9-1</f>
        <v>0.11136855488063291</v>
      </c>
      <c r="BC9" s="377">
        <f>IFERROR(BA9/AO9-1,)</f>
        <v>0.51266641030571036</v>
      </c>
      <c r="BD9" s="373">
        <v>55.694633000000003</v>
      </c>
      <c r="BE9" s="374">
        <f>BD9/E9-1</f>
        <v>8.6457625562868028</v>
      </c>
      <c r="BF9" s="375">
        <f t="shared" ref="BF9" si="65">IFERROR(BD9/#REF!-1,)</f>
        <v>0</v>
      </c>
      <c r="BG9" s="376">
        <v>60.048096000000001</v>
      </c>
      <c r="BH9" s="374">
        <f>BG9/BD9-1</f>
        <v>7.8166652072202414E-2</v>
      </c>
      <c r="BI9" s="375">
        <f t="shared" ref="BI9" si="66">IFERROR(BG9/#REF!-1,)</f>
        <v>0</v>
      </c>
      <c r="BJ9" s="376">
        <v>62.690650999999995</v>
      </c>
      <c r="BK9" s="374">
        <f>BJ9/BG9-1</f>
        <v>4.4007307075981217E-2</v>
      </c>
      <c r="BL9" s="375">
        <f>IFERROR(BJ9/B9-1,)</f>
        <v>0</v>
      </c>
      <c r="BM9" s="376">
        <v>73.491</v>
      </c>
      <c r="BN9" s="374">
        <f>BM9/BJ9-1</f>
        <v>0.17228005815412573</v>
      </c>
      <c r="BO9" s="377">
        <f>IFERROR(BM9/E9-1,)</f>
        <v>11.727918254243159</v>
      </c>
      <c r="BP9" s="373">
        <v>77.319999999999993</v>
      </c>
      <c r="BQ9" s="374">
        <f>BP9/BM9-1</f>
        <v>5.2101617885183193E-2</v>
      </c>
      <c r="BR9" s="375">
        <f>IFERROR(BP9/BD9-1,)</f>
        <v>0.38828457672034555</v>
      </c>
      <c r="BS9" s="376">
        <v>77.891000000000005</v>
      </c>
      <c r="BT9" s="374">
        <f>BS9/BP9-1</f>
        <v>7.3848939472325181E-3</v>
      </c>
      <c r="BU9" s="375">
        <f>IFERROR(BS9/BG9-1,)</f>
        <v>0.29714354306920909</v>
      </c>
      <c r="BV9" s="376">
        <v>85.727999999999994</v>
      </c>
      <c r="BW9" s="374">
        <f>BV9/BS9-1</f>
        <v>0.10061496193398445</v>
      </c>
      <c r="BX9" s="375">
        <f>IFERROR(BV9/BJ9-1,)</f>
        <v>0.36747662741610387</v>
      </c>
      <c r="BY9" s="376">
        <v>1925.537</v>
      </c>
      <c r="BZ9" s="374">
        <f>BY9/BV9-1</f>
        <v>21.46100457260172</v>
      </c>
      <c r="CA9" s="377">
        <f>IFERROR(BY9/BM9-1,)</f>
        <v>25.200990597488129</v>
      </c>
      <c r="CB9" s="612">
        <v>1912</v>
      </c>
      <c r="CC9" s="374">
        <f>CB9/BY9-1</f>
        <v>-7.0302466273045594E-3</v>
      </c>
      <c r="CD9" s="375">
        <f>IFERROR(CB9/BP9-1,)</f>
        <v>23.728401448525609</v>
      </c>
      <c r="CE9" s="376">
        <v>1946.6</v>
      </c>
      <c r="CF9" s="374">
        <f>IFERROR(CE9/CB9-1,)</f>
        <v>1.8096234309623371E-2</v>
      </c>
      <c r="CG9" s="375">
        <f>IFERROR(CE9/BS9-1,)</f>
        <v>23.991334043727772</v>
      </c>
      <c r="CH9" s="376">
        <v>2004.27</v>
      </c>
      <c r="CI9" s="374">
        <f>CH9/CE9-1</f>
        <v>2.9626014589540839E-2</v>
      </c>
      <c r="CJ9" s="375">
        <f>IFERROR(CH9/BV9-1,)</f>
        <v>22.379409294512879</v>
      </c>
      <c r="CK9" s="376"/>
      <c r="CL9" s="374">
        <f>CK9/CH9-1</f>
        <v>-1</v>
      </c>
      <c r="CM9" s="377">
        <f>IFERROR(CK9/BY9-1,)</f>
        <v>-1</v>
      </c>
    </row>
    <row r="10" spans="1:93" s="4" customFormat="1" ht="16.2" customHeight="1" x14ac:dyDescent="0.4">
      <c r="A10" s="156">
        <f t="shared" si="50"/>
        <v>9</v>
      </c>
      <c r="B10" s="110" t="s">
        <v>48</v>
      </c>
      <c r="C10" s="111" t="s">
        <v>160</v>
      </c>
      <c r="D10" s="754">
        <v>92.655000000000001</v>
      </c>
      <c r="E10" s="755">
        <v>92.528000000000006</v>
      </c>
      <c r="F10" s="755">
        <v>101.895</v>
      </c>
      <c r="G10" s="372">
        <v>107.491</v>
      </c>
      <c r="H10" s="373">
        <v>121.11799999999999</v>
      </c>
      <c r="I10" s="374">
        <f>H10/G10-1</f>
        <v>0.12677340428500994</v>
      </c>
      <c r="J10" s="375">
        <f>IFERROR(H10/D10-1,)</f>
        <v>0.30719335168096706</v>
      </c>
      <c r="K10" s="376">
        <v>123.68899999999999</v>
      </c>
      <c r="L10" s="374">
        <f>K10/H10-1</f>
        <v>2.1227232946382957E-2</v>
      </c>
      <c r="M10" s="375">
        <f>IFERROR(K10/E10-1,)</f>
        <v>0.33677373335638916</v>
      </c>
      <c r="N10" s="376">
        <v>132.649</v>
      </c>
      <c r="O10" s="374">
        <f>N10/K10-1</f>
        <v>7.2439748077840482E-2</v>
      </c>
      <c r="P10" s="375">
        <f>IFERROR(N10/F10-1,)</f>
        <v>0.30182050149663886</v>
      </c>
      <c r="Q10" s="376">
        <v>104.026</v>
      </c>
      <c r="R10" s="374">
        <f>Q10/N10-1</f>
        <v>-0.21577999080279542</v>
      </c>
      <c r="S10" s="377">
        <f>IFERROR(Q10/G10-1,)</f>
        <v>-3.2235256905229326E-2</v>
      </c>
      <c r="T10" s="373">
        <v>133.63200000000001</v>
      </c>
      <c r="U10" s="374">
        <f>T10/Q10-1</f>
        <v>0.28460192644146676</v>
      </c>
      <c r="V10" s="375">
        <f>IFERROR(T10/H10-1,)</f>
        <v>0.10332072854571583</v>
      </c>
      <c r="W10" s="376">
        <v>122.798</v>
      </c>
      <c r="X10" s="374">
        <f>W10/T10-1</f>
        <v>-8.1073395593869724E-2</v>
      </c>
      <c r="Y10" s="375">
        <f>IFERROR(W10/K10-1,)</f>
        <v>-7.2035508412227056E-3</v>
      </c>
      <c r="Z10" s="376">
        <v>128.19900000000001</v>
      </c>
      <c r="AA10" s="374">
        <f>Z10/W10-1</f>
        <v>4.3982801022818041E-2</v>
      </c>
      <c r="AB10" s="375">
        <f>IFERROR(Z10/N10-1,)</f>
        <v>-3.3547180905999952E-2</v>
      </c>
      <c r="AC10" s="376">
        <v>121.991</v>
      </c>
      <c r="AD10" s="374">
        <f>AC10/Z10-1</f>
        <v>-4.8424714701362781E-2</v>
      </c>
      <c r="AE10" s="377">
        <f>IFERROR(AC10/Q10-1,)</f>
        <v>0.17269721031280638</v>
      </c>
      <c r="AF10" s="373">
        <v>138.61500000000001</v>
      </c>
      <c r="AG10" s="374">
        <f>AF10/AC10-1</f>
        <v>0.13627234796009557</v>
      </c>
      <c r="AH10" s="375">
        <f>IFERROR(AF10/T10-1,)</f>
        <v>3.7288972701149392E-2</v>
      </c>
      <c r="AI10" s="376">
        <v>138.517</v>
      </c>
      <c r="AJ10" s="374">
        <f>AI10/AF10-1</f>
        <v>-7.0699419254782736E-4</v>
      </c>
      <c r="AK10" s="375">
        <f>IFERROR(AI10/W10-1,)</f>
        <v>0.12800697079756995</v>
      </c>
      <c r="AL10" s="376">
        <v>149.74799999999999</v>
      </c>
      <c r="AM10" s="374">
        <f>AL10/AI10-1</f>
        <v>8.1080300612921041E-2</v>
      </c>
      <c r="AN10" s="375">
        <f>IFERROR(AL10/Z10-1,)</f>
        <v>0.16809023471321916</v>
      </c>
      <c r="AO10" s="376">
        <v>151.02699999999999</v>
      </c>
      <c r="AP10" s="374">
        <f>AO10/AL10-1</f>
        <v>8.5410155728289361E-3</v>
      </c>
      <c r="AQ10" s="377">
        <f>IFERROR(AO10/AC10-1,)</f>
        <v>0.23801755867236096</v>
      </c>
      <c r="AR10" s="373">
        <v>209.56200000000001</v>
      </c>
      <c r="AS10" s="374">
        <f>AR10/AO10-1</f>
        <v>0.38757970429128585</v>
      </c>
      <c r="AT10" s="375">
        <f>IFERROR(AR10/AF10-1,)</f>
        <v>0.51182772427226486</v>
      </c>
      <c r="AU10" s="376">
        <v>142.01615899999999</v>
      </c>
      <c r="AV10" s="374">
        <f>AU10/AR10-1</f>
        <v>-0.32231912751357605</v>
      </c>
      <c r="AW10" s="375">
        <f>IFERROR(AU10/AI10-1,)</f>
        <v>2.5261585220586635E-2</v>
      </c>
      <c r="AX10" s="376">
        <v>197.85279399999999</v>
      </c>
      <c r="AY10" s="374">
        <f>AX10/AU10-1</f>
        <v>0.39317099823830626</v>
      </c>
      <c r="AZ10" s="375">
        <f>IFERROR(AX10/AL10-1,)</f>
        <v>0.32123830702246448</v>
      </c>
      <c r="BA10" s="376">
        <v>238.08679599999999</v>
      </c>
      <c r="BB10" s="374">
        <f>BA10/AX10-1</f>
        <v>0.20335321623004221</v>
      </c>
      <c r="BC10" s="377">
        <f>IFERROR(BA10/AO10-1,)</f>
        <v>0.57645186622259614</v>
      </c>
      <c r="BD10" s="373">
        <v>150.03006299999998</v>
      </c>
      <c r="BE10" s="374">
        <f>BD10/E10-1</f>
        <v>0.62145580797164079</v>
      </c>
      <c r="BF10" s="375">
        <f t="shared" ref="BF10" si="67">IFERROR(BD10/#REF!-1,)</f>
        <v>0</v>
      </c>
      <c r="BG10" s="376">
        <v>232.56942699999999</v>
      </c>
      <c r="BH10" s="374">
        <f>BG10/BD10-1</f>
        <v>0.55015216516972343</v>
      </c>
      <c r="BI10" s="375">
        <f t="shared" ref="BI10" si="68">IFERROR(BG10/#REF!-1,)</f>
        <v>0</v>
      </c>
      <c r="BJ10" s="376">
        <v>181.35998499999999</v>
      </c>
      <c r="BK10" s="374">
        <f>BJ10/BG10-1</f>
        <v>-0.22018991344034222</v>
      </c>
      <c r="BL10" s="375">
        <f>IFERROR(BJ10/B10-1,)</f>
        <v>0</v>
      </c>
      <c r="BM10" s="376">
        <v>183.42</v>
      </c>
      <c r="BN10" s="374">
        <f>BM10/BJ10-1</f>
        <v>1.1358707379690136E-2</v>
      </c>
      <c r="BO10" s="377">
        <f>IFERROR(BM10/E10-1,)</f>
        <v>0.98231886564067072</v>
      </c>
      <c r="BP10" s="373">
        <v>246.47300000000001</v>
      </c>
      <c r="BQ10" s="374">
        <f>BP10/BM10-1</f>
        <v>0.34376294842438138</v>
      </c>
      <c r="BR10" s="375">
        <f>IFERROR(BP10/BD10-1,)</f>
        <v>0.64282407853151424</v>
      </c>
      <c r="BS10" s="376">
        <v>202.922</v>
      </c>
      <c r="BT10" s="374">
        <f>BS10/BP10-1</f>
        <v>-0.17669683900467803</v>
      </c>
      <c r="BU10" s="375">
        <f>IFERROR(BS10/BG10-1,)</f>
        <v>-0.12747774882723517</v>
      </c>
      <c r="BV10" s="376">
        <v>231.60300000000001</v>
      </c>
      <c r="BW10" s="374">
        <f>BV10/BS10-1</f>
        <v>0.14134002227456866</v>
      </c>
      <c r="BX10" s="375">
        <f>IFERROR(BV10/BJ10-1,)</f>
        <v>0.27703473288222868</v>
      </c>
      <c r="BY10" s="376">
        <v>240.495</v>
      </c>
      <c r="BZ10" s="374">
        <f>BY10/BV10-1</f>
        <v>3.8393285061074423E-2</v>
      </c>
      <c r="CA10" s="377">
        <f>IFERROR(BY10/BM10-1,)</f>
        <v>0.31117108276087668</v>
      </c>
      <c r="CB10" s="612">
        <v>279</v>
      </c>
      <c r="CC10" s="374">
        <f>CB10/BY10-1</f>
        <v>0.16010727873760366</v>
      </c>
      <c r="CD10" s="375">
        <f>IFERROR(CB10/BP10-1,)</f>
        <v>0.13196983036681487</v>
      </c>
      <c r="CE10" s="376">
        <v>252</v>
      </c>
      <c r="CF10" s="374">
        <f>IFERROR(CE10/CB10-1,)</f>
        <v>-9.6774193548387122E-2</v>
      </c>
      <c r="CG10" s="375">
        <f>IFERROR(CE10/BS10-1,)</f>
        <v>0.24185647687288703</v>
      </c>
      <c r="CH10" s="376">
        <v>251.01499999999999</v>
      </c>
      <c r="CI10" s="374">
        <f>CH10/CE10-1</f>
        <v>-3.908730158730167E-3</v>
      </c>
      <c r="CJ10" s="375">
        <f>IFERROR(CH10/BV10-1,)</f>
        <v>8.3815840036614242E-2</v>
      </c>
      <c r="CK10" s="376"/>
      <c r="CL10" s="374">
        <f>CK10/CH10-1</f>
        <v>-1</v>
      </c>
      <c r="CM10" s="377">
        <f>IFERROR(CK10/BY10-1,)</f>
        <v>-1</v>
      </c>
    </row>
    <row r="11" spans="1:93" ht="16.2" customHeight="1" x14ac:dyDescent="0.4">
      <c r="A11" s="156">
        <f t="shared" si="50"/>
        <v>10</v>
      </c>
      <c r="B11" s="836" t="s">
        <v>186</v>
      </c>
      <c r="C11" s="837" t="s">
        <v>69</v>
      </c>
      <c r="D11" s="838">
        <f t="shared" ref="D11:H11" si="69">SUM(D12:D35)</f>
        <v>849.25000000000011</v>
      </c>
      <c r="E11" s="839">
        <f t="shared" si="69"/>
        <v>843.85500000000002</v>
      </c>
      <c r="F11" s="839">
        <f t="shared" si="69"/>
        <v>1028.5679999999998</v>
      </c>
      <c r="G11" s="840">
        <f t="shared" si="69"/>
        <v>1345.9469999999999</v>
      </c>
      <c r="H11" s="841">
        <f t="shared" si="69"/>
        <v>1009.6330000000002</v>
      </c>
      <c r="I11" s="842">
        <f>H11/G11-1</f>
        <v>-0.24987165170693926</v>
      </c>
      <c r="J11" s="843">
        <f>IFERROR(H11/D11-1,)</f>
        <v>0.18885251692670013</v>
      </c>
      <c r="K11" s="844">
        <f t="shared" ref="K11" si="70">SUM(K12:K35)</f>
        <v>1360.9549999999999</v>
      </c>
      <c r="L11" s="842">
        <f>K11/H11-1</f>
        <v>0.34797000494238972</v>
      </c>
      <c r="M11" s="843">
        <f>IFERROR(K11/E11-1,)</f>
        <v>0.61278300181903278</v>
      </c>
      <c r="N11" s="844">
        <f t="shared" ref="N11" si="71">SUM(N12:N35)</f>
        <v>1203.9469999999999</v>
      </c>
      <c r="O11" s="842">
        <f>N11/K11-1</f>
        <v>-0.11536604810592566</v>
      </c>
      <c r="P11" s="843">
        <f>IFERROR(N11/F11-1,)</f>
        <v>0.17050792947087623</v>
      </c>
      <c r="Q11" s="844">
        <f t="shared" ref="Q11" si="72">SUM(Q12:Q35)</f>
        <v>970.17600000000004</v>
      </c>
      <c r="R11" s="842">
        <f>Q11/N11-1</f>
        <v>-0.19417050750572895</v>
      </c>
      <c r="S11" s="845">
        <f>IFERROR(Q11/G11-1,)</f>
        <v>-0.27918707051614955</v>
      </c>
      <c r="T11" s="841">
        <f>SUM(T12:T35)</f>
        <v>865.90499999999986</v>
      </c>
      <c r="U11" s="842">
        <f>T11/Q11-1</f>
        <v>-0.10747637542054245</v>
      </c>
      <c r="V11" s="843">
        <f>IFERROR(T11/H11-1,)</f>
        <v>-0.14235667811967345</v>
      </c>
      <c r="W11" s="844">
        <f>SUM(W12:W35)</f>
        <v>656.37</v>
      </c>
      <c r="X11" s="842">
        <f>W11/T11-1</f>
        <v>-0.24198382039600175</v>
      </c>
      <c r="Y11" s="843">
        <f>IFERROR(W11/K11-1,)</f>
        <v>-0.51771366430190557</v>
      </c>
      <c r="Z11" s="844">
        <f>SUM(Z12:Z35)</f>
        <v>813.11999999999989</v>
      </c>
      <c r="AA11" s="842">
        <f>Z11/W11-1</f>
        <v>0.23881347410759157</v>
      </c>
      <c r="AB11" s="843">
        <f>IFERROR(Z11/N11-1,)</f>
        <v>-0.32462143267103949</v>
      </c>
      <c r="AC11" s="844">
        <f>SUM(AC12:AC35)</f>
        <v>614.65200000000016</v>
      </c>
      <c r="AD11" s="842">
        <f>AC11/Z11-1</f>
        <v>-0.24408205430932672</v>
      </c>
      <c r="AE11" s="845">
        <f>IFERROR(AC11/Q11-1,)</f>
        <v>-0.36645309716999785</v>
      </c>
      <c r="AF11" s="841">
        <f>SUM(AF12:AF35)</f>
        <v>809.85799999999995</v>
      </c>
      <c r="AG11" s="842">
        <f>AF11/AC11-1</f>
        <v>0.31758783832152138</v>
      </c>
      <c r="AH11" s="843">
        <f>IFERROR(AF11/T11-1,)</f>
        <v>-6.4726500020209965E-2</v>
      </c>
      <c r="AI11" s="844">
        <f>SUM(AI12:AI35)</f>
        <v>940.45799999999997</v>
      </c>
      <c r="AJ11" s="842">
        <f>AI11/AF11-1</f>
        <v>0.16126283867048308</v>
      </c>
      <c r="AK11" s="843">
        <f>IFERROR(AI11/W11-1,)</f>
        <v>0.43281685634626799</v>
      </c>
      <c r="AL11" s="844">
        <f>SUM(AL12:AL35)</f>
        <v>714.03300000000002</v>
      </c>
      <c r="AM11" s="842">
        <f>AL11/AI11-1</f>
        <v>-0.24076035293442122</v>
      </c>
      <c r="AN11" s="843">
        <f>IFERROR(AL11/Z11-1,)</f>
        <v>-0.12186024203069645</v>
      </c>
      <c r="AO11" s="844">
        <f>SUM(AO12:AO35)</f>
        <v>1000.6769999999999</v>
      </c>
      <c r="AP11" s="842">
        <f>AO11/AL11-1</f>
        <v>0.40144363075656142</v>
      </c>
      <c r="AQ11" s="845">
        <f>IFERROR(AO11/AC11-1,)</f>
        <v>0.62803830460162757</v>
      </c>
      <c r="AR11" s="841">
        <f>SUM(AR12:AR35)</f>
        <v>1358.5300000000002</v>
      </c>
      <c r="AS11" s="842">
        <f>AR11/AO11-1</f>
        <v>0.35761089742244523</v>
      </c>
      <c r="AT11" s="843">
        <f>IFERROR(AR11/AF11-1,)</f>
        <v>0.67749160964020883</v>
      </c>
      <c r="AU11" s="844">
        <f>SUM(AU12:AU35)</f>
        <v>1009.812948</v>
      </c>
      <c r="AV11" s="842">
        <f>AU11/AR11-1</f>
        <v>-0.25668704555659438</v>
      </c>
      <c r="AW11" s="843">
        <f>IFERROR(AU11/AI11-1,)</f>
        <v>7.374592804782365E-2</v>
      </c>
      <c r="AX11" s="844">
        <f>SUM(AX12:AX35)</f>
        <v>1391.708063</v>
      </c>
      <c r="AY11" s="842">
        <f>AX11/AU11-1</f>
        <v>0.3781840149270892</v>
      </c>
      <c r="AZ11" s="843">
        <f>IFERROR(AX11/AL11-1,)</f>
        <v>0.94908087301287192</v>
      </c>
      <c r="BA11" s="844">
        <f>SUM(BA12:BA35)</f>
        <v>2280.535934</v>
      </c>
      <c r="BB11" s="842">
        <f>BA11/AX11-1</f>
        <v>0.63865971221293405</v>
      </c>
      <c r="BC11" s="845">
        <f>IFERROR(BA11/AO11-1,)</f>
        <v>1.2789930557012905</v>
      </c>
      <c r="BD11" s="841">
        <f>SUM(BD12:BD35)</f>
        <v>1695.0820409999999</v>
      </c>
      <c r="BE11" s="842">
        <f>BD11/BA11-1</f>
        <v>-0.2567176795031374</v>
      </c>
      <c r="BF11" s="843">
        <f>IFERROR(BD11/AR11-1,)</f>
        <v>0.24773250572309746</v>
      </c>
      <c r="BG11" s="844">
        <f>SUM(BG12:BG35)</f>
        <v>2198.2864239999999</v>
      </c>
      <c r="BH11" s="842">
        <f>BG11/BD11-1</f>
        <v>0.29686137356699183</v>
      </c>
      <c r="BI11" s="843">
        <f>IFERROR(BG11/AU11-1,)</f>
        <v>1.1769243782760448</v>
      </c>
      <c r="BJ11" s="844">
        <f>SUM(BJ12:BJ35)</f>
        <v>2379.4654149999997</v>
      </c>
      <c r="BK11" s="842">
        <f>BJ11/BG11-1</f>
        <v>8.2418282268389209E-2</v>
      </c>
      <c r="BL11" s="843">
        <f>IFERROR(BJ11/AX11-1,)</f>
        <v>0.7097446499453095</v>
      </c>
      <c r="BM11" s="844">
        <f>SUM(BM12:BM35)</f>
        <v>2985.732</v>
      </c>
      <c r="BN11" s="842">
        <f>BM11/BJ11-1</f>
        <v>0.25479108928338867</v>
      </c>
      <c r="BO11" s="845">
        <f>IFERROR(BM11/BA11-1,)</f>
        <v>0.30922383440067303</v>
      </c>
      <c r="BP11" s="841">
        <f>SUM(BP12:BP35)</f>
        <v>2527.38</v>
      </c>
      <c r="BQ11" s="842">
        <f>BP11/BM11-1</f>
        <v>-0.15351411312200824</v>
      </c>
      <c r="BR11" s="843">
        <f>IFERROR(BP11/BD11-1,)</f>
        <v>0.49100747861678284</v>
      </c>
      <c r="BS11" s="844">
        <f>SUM(BS12:BS35)</f>
        <v>2920.6410000000001</v>
      </c>
      <c r="BT11" s="842">
        <f>BS11/BP11-1</f>
        <v>0.15560026588799469</v>
      </c>
      <c r="BU11" s="843">
        <f>IFERROR(BS11/BG11-1,)</f>
        <v>0.32859893420330755</v>
      </c>
      <c r="BV11" s="844">
        <f>SUM(BV12:BV35)</f>
        <v>2716.1210000000005</v>
      </c>
      <c r="BW11" s="842">
        <f>BV11/BS11-1</f>
        <v>-7.0025723805150819E-2</v>
      </c>
      <c r="BX11" s="843">
        <f>IFERROR(BV11/BJ11-1,)</f>
        <v>0.14148370591047277</v>
      </c>
      <c r="BY11" s="844">
        <f>SUM(BY12:BY35)</f>
        <v>3114.1990000000001</v>
      </c>
      <c r="BZ11" s="842">
        <f>BY11/BV11-1</f>
        <v>0.1465612172653572</v>
      </c>
      <c r="CA11" s="845">
        <f>IFERROR(BY11/BM11-1,)</f>
        <v>4.3026969600754583E-2</v>
      </c>
      <c r="CB11" s="841">
        <f>SUM(CB12:CB35)</f>
        <v>4044</v>
      </c>
      <c r="CC11" s="842">
        <f>CB11/BY11-1</f>
        <v>0.29856826747423648</v>
      </c>
      <c r="CD11" s="843">
        <f>IFERROR(CB11/BP11-1,)</f>
        <v>0.60007596799848062</v>
      </c>
      <c r="CE11" s="844">
        <v>4161.2</v>
      </c>
      <c r="CF11" s="842">
        <f>IFERROR(CE11/CB11-1,)</f>
        <v>2.8981206726013786E-2</v>
      </c>
      <c r="CG11" s="843">
        <f>IFERROR(CE11/BS11-1,)</f>
        <v>0.42475572999214894</v>
      </c>
      <c r="CH11" s="844">
        <v>5303.1390000000001</v>
      </c>
      <c r="CI11" s="842">
        <f>IFERROR(CH11/CE11-1,)</f>
        <v>0.27442540613284638</v>
      </c>
      <c r="CJ11" s="843">
        <f>IFERROR(CH11/BV11-1,)</f>
        <v>0.95246787606295857</v>
      </c>
      <c r="CK11" s="382"/>
      <c r="CL11" s="380">
        <f>CK11/CH11-1</f>
        <v>-1</v>
      </c>
      <c r="CM11" s="383"/>
      <c r="CO11" s="382"/>
    </row>
    <row r="12" spans="1:93" s="7" customFormat="1" ht="16.2" customHeight="1" outlineLevel="1" x14ac:dyDescent="0.4">
      <c r="A12" s="156">
        <f t="shared" si="50"/>
        <v>11</v>
      </c>
      <c r="B12" s="112" t="s">
        <v>49</v>
      </c>
      <c r="C12" s="113" t="s">
        <v>64</v>
      </c>
      <c r="D12" s="756">
        <v>128.41</v>
      </c>
      <c r="E12" s="757">
        <v>183.68100000000001</v>
      </c>
      <c r="F12" s="757">
        <v>160.25899999999999</v>
      </c>
      <c r="G12" s="378">
        <v>191.71700000000001</v>
      </c>
      <c r="H12" s="379">
        <v>206.15600000000001</v>
      </c>
      <c r="I12" s="380">
        <f t="shared" si="0"/>
        <v>7.5314134896748763E-2</v>
      </c>
      <c r="J12" s="381">
        <f t="shared" si="1"/>
        <v>0.60545128884043309</v>
      </c>
      <c r="K12" s="382">
        <v>237.94</v>
      </c>
      <c r="L12" s="380">
        <f t="shared" si="2"/>
        <v>0.15417450862453674</v>
      </c>
      <c r="M12" s="381">
        <f t="shared" si="3"/>
        <v>0.29539799979311954</v>
      </c>
      <c r="N12" s="382">
        <v>239.29900000000001</v>
      </c>
      <c r="O12" s="380">
        <f t="shared" si="4"/>
        <v>5.7115239135916429E-3</v>
      </c>
      <c r="P12" s="381">
        <f t="shared" si="5"/>
        <v>0.49320162986166172</v>
      </c>
      <c r="Q12" s="382">
        <v>226.608</v>
      </c>
      <c r="R12" s="380">
        <f t="shared" si="6"/>
        <v>-5.3034070347138917E-2</v>
      </c>
      <c r="S12" s="383">
        <f t="shared" si="7"/>
        <v>0.18199220726383158</v>
      </c>
      <c r="T12" s="379">
        <v>213.88800000000001</v>
      </c>
      <c r="U12" s="380">
        <f t="shared" si="8"/>
        <v>-5.6132175386570671E-2</v>
      </c>
      <c r="V12" s="381">
        <f t="shared" si="9"/>
        <v>3.7505578299928288E-2</v>
      </c>
      <c r="W12" s="382">
        <v>192.56800000000001</v>
      </c>
      <c r="X12" s="380">
        <f t="shared" si="10"/>
        <v>-9.9678336325553563E-2</v>
      </c>
      <c r="Y12" s="381">
        <f t="shared" si="11"/>
        <v>-0.19068672774649065</v>
      </c>
      <c r="Z12" s="382">
        <v>232.35499999999999</v>
      </c>
      <c r="AA12" s="380">
        <f t="shared" si="12"/>
        <v>0.20661272901001193</v>
      </c>
      <c r="AB12" s="381">
        <f t="shared" si="13"/>
        <v>-2.9018090338864821E-2</v>
      </c>
      <c r="AC12" s="382">
        <v>202.01599999999999</v>
      </c>
      <c r="AD12" s="380">
        <f t="shared" si="14"/>
        <v>-0.13057175442749236</v>
      </c>
      <c r="AE12" s="383">
        <f t="shared" si="15"/>
        <v>-0.10852220574736993</v>
      </c>
      <c r="AF12" s="379">
        <v>189.59700000000001</v>
      </c>
      <c r="AG12" s="380">
        <f t="shared" si="16"/>
        <v>-6.1475328686836583E-2</v>
      </c>
      <c r="AH12" s="381">
        <f t="shared" si="17"/>
        <v>-0.11356878366247758</v>
      </c>
      <c r="AI12" s="382">
        <v>313.35300000000001</v>
      </c>
      <c r="AJ12" s="380">
        <f t="shared" si="18"/>
        <v>0.65273184702289599</v>
      </c>
      <c r="AK12" s="381">
        <f t="shared" si="19"/>
        <v>0.6272329774417349</v>
      </c>
      <c r="AL12" s="382">
        <v>284.67500000000001</v>
      </c>
      <c r="AM12" s="380">
        <f t="shared" si="20"/>
        <v>-9.1519787587800328E-2</v>
      </c>
      <c r="AN12" s="381">
        <f t="shared" si="21"/>
        <v>0.22517268834326787</v>
      </c>
      <c r="AO12" s="382">
        <v>296.822</v>
      </c>
      <c r="AP12" s="380">
        <f t="shared" si="22"/>
        <v>4.2669711074031724E-2</v>
      </c>
      <c r="AQ12" s="383">
        <f t="shared" si="23"/>
        <v>0.46929946142879775</v>
      </c>
      <c r="AR12" s="379">
        <v>454.86599999999999</v>
      </c>
      <c r="AS12" s="380">
        <f t="shared" si="24"/>
        <v>0.53245379385625058</v>
      </c>
      <c r="AT12" s="381">
        <f t="shared" si="25"/>
        <v>1.3991202392442919</v>
      </c>
      <c r="AU12" s="382">
        <v>266.88398600000005</v>
      </c>
      <c r="AV12" s="380">
        <f t="shared" si="26"/>
        <v>-0.41326899350577961</v>
      </c>
      <c r="AW12" s="381">
        <f t="shared" si="27"/>
        <v>-0.14829605588585382</v>
      </c>
      <c r="AX12" s="382">
        <v>340.250542</v>
      </c>
      <c r="AY12" s="380">
        <f t="shared" si="28"/>
        <v>0.27490055547956316</v>
      </c>
      <c r="AZ12" s="381">
        <f t="shared" si="29"/>
        <v>0.19522452621410369</v>
      </c>
      <c r="BA12" s="382">
        <v>529.43000500000005</v>
      </c>
      <c r="BB12" s="380">
        <f t="shared" si="30"/>
        <v>0.55600047508520967</v>
      </c>
      <c r="BC12" s="383">
        <f t="shared" si="31"/>
        <v>0.78366160527184658</v>
      </c>
      <c r="BD12" s="379">
        <v>233.44264999999999</v>
      </c>
      <c r="BE12" s="380">
        <f t="shared" si="51"/>
        <v>0.27091343143819979</v>
      </c>
      <c r="BF12" s="381">
        <f t="shared" ref="BF12" si="73">IFERROR(BD12/#REF!-1,)</f>
        <v>0</v>
      </c>
      <c r="BG12" s="382">
        <v>305.30155600000001</v>
      </c>
      <c r="BH12" s="380">
        <f t="shared" si="32"/>
        <v>0.30782252514696884</v>
      </c>
      <c r="BI12" s="381">
        <f t="shared" ref="BI12" si="74">IFERROR(BG12/#REF!-1,)</f>
        <v>0</v>
      </c>
      <c r="BJ12" s="382">
        <v>348.89246100000003</v>
      </c>
      <c r="BK12" s="380">
        <f t="shared" si="33"/>
        <v>0.14277983240937053</v>
      </c>
      <c r="BL12" s="381">
        <f t="shared" si="54"/>
        <v>0</v>
      </c>
      <c r="BM12" s="382">
        <v>546.72299999999996</v>
      </c>
      <c r="BN12" s="380">
        <f t="shared" si="34"/>
        <v>0.56702440182563851</v>
      </c>
      <c r="BO12" s="383">
        <f t="shared" si="55"/>
        <v>1.9764809642804639</v>
      </c>
      <c r="BP12" s="379">
        <v>278.99400000000003</v>
      </c>
      <c r="BQ12" s="380">
        <f t="shared" si="35"/>
        <v>-0.48969770798009216</v>
      </c>
      <c r="BR12" s="381">
        <f t="shared" si="36"/>
        <v>0.19512865365433463</v>
      </c>
      <c r="BS12" s="382">
        <v>545.755</v>
      </c>
      <c r="BT12" s="380">
        <f t="shared" si="37"/>
        <v>0.95615317892141038</v>
      </c>
      <c r="BU12" s="381">
        <f t="shared" si="38"/>
        <v>0.7875932476413583</v>
      </c>
      <c r="BV12" s="382">
        <v>438.02199999999999</v>
      </c>
      <c r="BW12" s="380">
        <f t="shared" si="39"/>
        <v>-0.19740176452803915</v>
      </c>
      <c r="BX12" s="381">
        <f t="shared" si="40"/>
        <v>0.25546421594933788</v>
      </c>
      <c r="BY12" s="382">
        <v>831.26199999999994</v>
      </c>
      <c r="BZ12" s="380">
        <f t="shared" si="41"/>
        <v>0.89776312605302921</v>
      </c>
      <c r="CA12" s="383">
        <f t="shared" si="42"/>
        <v>0.52044453955659442</v>
      </c>
      <c r="CB12" s="379">
        <v>572</v>
      </c>
      <c r="CC12" s="380">
        <f t="shared" si="43"/>
        <v>-0.31188963287146532</v>
      </c>
      <c r="CD12" s="381">
        <f t="shared" si="44"/>
        <v>1.0502233022932392</v>
      </c>
      <c r="CE12" s="903" t="s">
        <v>444</v>
      </c>
      <c r="CF12" s="904"/>
      <c r="CG12" s="905"/>
      <c r="CH12" s="903" t="s">
        <v>444</v>
      </c>
      <c r="CI12" s="904"/>
      <c r="CJ12" s="905"/>
      <c r="CK12" s="382"/>
      <c r="CL12" s="380" t="e">
        <f t="shared" si="48"/>
        <v>#VALUE!</v>
      </c>
      <c r="CM12" s="383">
        <f t="shared" si="49"/>
        <v>-1</v>
      </c>
      <c r="CN12" s="569"/>
      <c r="CO12" s="382"/>
    </row>
    <row r="13" spans="1:93" s="7" customFormat="1" ht="16.2" customHeight="1" outlineLevel="1" x14ac:dyDescent="0.4">
      <c r="A13" s="156">
        <f t="shared" si="50"/>
        <v>12</v>
      </c>
      <c r="B13" s="112" t="s">
        <v>183</v>
      </c>
      <c r="C13" s="113" t="s">
        <v>291</v>
      </c>
      <c r="D13" s="756">
        <v>108.063</v>
      </c>
      <c r="E13" s="757">
        <v>102.682</v>
      </c>
      <c r="F13" s="757">
        <v>234.73400000000001</v>
      </c>
      <c r="G13" s="378">
        <v>262.32299999999998</v>
      </c>
      <c r="H13" s="379">
        <v>97.972999999999999</v>
      </c>
      <c r="I13" s="380">
        <f t="shared" si="0"/>
        <v>-0.6265176900233681</v>
      </c>
      <c r="J13" s="381">
        <f t="shared" si="1"/>
        <v>-9.3371459241368471E-2</v>
      </c>
      <c r="K13" s="382">
        <v>254.00299999999999</v>
      </c>
      <c r="L13" s="380">
        <f t="shared" si="2"/>
        <v>1.5925816296326536</v>
      </c>
      <c r="M13" s="381">
        <f t="shared" si="3"/>
        <v>1.4736857482324068</v>
      </c>
      <c r="N13" s="382">
        <v>184.12100000000001</v>
      </c>
      <c r="O13" s="380">
        <f t="shared" si="4"/>
        <v>-0.27512273477084903</v>
      </c>
      <c r="P13" s="381">
        <f t="shared" si="5"/>
        <v>-0.21561852991045183</v>
      </c>
      <c r="Q13" s="382">
        <v>170.71</v>
      </c>
      <c r="R13" s="380">
        <f t="shared" si="6"/>
        <v>-7.2837970682323006E-2</v>
      </c>
      <c r="S13" s="383">
        <f t="shared" si="7"/>
        <v>-0.34923739054524372</v>
      </c>
      <c r="T13" s="379">
        <v>92.710999999999999</v>
      </c>
      <c r="U13" s="380">
        <f t="shared" si="8"/>
        <v>-0.45690937847812085</v>
      </c>
      <c r="V13" s="381">
        <f t="shared" si="9"/>
        <v>-5.3708674838986226E-2</v>
      </c>
      <c r="W13" s="382">
        <v>76.430999999999997</v>
      </c>
      <c r="X13" s="380">
        <f t="shared" si="10"/>
        <v>-0.1755994434317395</v>
      </c>
      <c r="Y13" s="381">
        <f t="shared" si="11"/>
        <v>-0.69909410518773396</v>
      </c>
      <c r="Z13" s="382">
        <v>168.619</v>
      </c>
      <c r="AA13" s="380">
        <f t="shared" si="12"/>
        <v>1.206159804267902</v>
      </c>
      <c r="AB13" s="381">
        <f t="shared" si="13"/>
        <v>-8.4194632877292674E-2</v>
      </c>
      <c r="AC13" s="382">
        <v>199.49700000000001</v>
      </c>
      <c r="AD13" s="380">
        <f t="shared" si="14"/>
        <v>0.18312289836851137</v>
      </c>
      <c r="AE13" s="383">
        <f t="shared" si="15"/>
        <v>0.16863101165719652</v>
      </c>
      <c r="AF13" s="379">
        <v>42.658999999999999</v>
      </c>
      <c r="AG13" s="380">
        <f t="shared" si="16"/>
        <v>-0.78616721053449434</v>
      </c>
      <c r="AH13" s="381">
        <f t="shared" si="17"/>
        <v>-0.53987121269320792</v>
      </c>
      <c r="AI13" s="382">
        <v>194.42699999999999</v>
      </c>
      <c r="AJ13" s="380">
        <f t="shared" si="18"/>
        <v>3.5577017745376125</v>
      </c>
      <c r="AK13" s="381">
        <f t="shared" si="19"/>
        <v>1.5438238411115908</v>
      </c>
      <c r="AL13" s="382">
        <v>115.589</v>
      </c>
      <c r="AM13" s="380">
        <f t="shared" si="20"/>
        <v>-0.405488949580048</v>
      </c>
      <c r="AN13" s="381">
        <f t="shared" si="21"/>
        <v>-0.31449599392713756</v>
      </c>
      <c r="AO13" s="382">
        <v>160.589</v>
      </c>
      <c r="AP13" s="380">
        <f t="shared" si="22"/>
        <v>0.38931040150879404</v>
      </c>
      <c r="AQ13" s="383">
        <f t="shared" si="23"/>
        <v>-0.19503050171180525</v>
      </c>
      <c r="AR13" s="379">
        <v>203.87299999999999</v>
      </c>
      <c r="AS13" s="380">
        <f t="shared" si="24"/>
        <v>0.26953278244462564</v>
      </c>
      <c r="AT13" s="381">
        <f t="shared" si="25"/>
        <v>3.7791321878149979</v>
      </c>
      <c r="AU13" s="382">
        <v>232.858046</v>
      </c>
      <c r="AV13" s="380">
        <f t="shared" si="26"/>
        <v>0.14217206790501935</v>
      </c>
      <c r="AW13" s="381">
        <f t="shared" si="27"/>
        <v>0.19766311263353353</v>
      </c>
      <c r="AX13" s="382">
        <v>281.30319600000001</v>
      </c>
      <c r="AY13" s="380">
        <f t="shared" si="28"/>
        <v>0.20804584953014693</v>
      </c>
      <c r="AZ13" s="381">
        <f t="shared" si="29"/>
        <v>1.4336502262326003</v>
      </c>
      <c r="BA13" s="382">
        <v>441.71843100000001</v>
      </c>
      <c r="BB13" s="380">
        <f t="shared" si="30"/>
        <v>0.57025742075109576</v>
      </c>
      <c r="BC13" s="383">
        <f t="shared" si="31"/>
        <v>1.7506144941434347</v>
      </c>
      <c r="BD13" s="379">
        <v>64.267548000000005</v>
      </c>
      <c r="BE13" s="380">
        <f t="shared" si="51"/>
        <v>-0.37411086655889048</v>
      </c>
      <c r="BF13" s="381">
        <f t="shared" ref="BF13" si="75">IFERROR(BD13/#REF!-1,)</f>
        <v>0</v>
      </c>
      <c r="BG13" s="382">
        <v>318.97146299999997</v>
      </c>
      <c r="BH13" s="380">
        <f t="shared" si="32"/>
        <v>3.9631808420635553</v>
      </c>
      <c r="BI13" s="381">
        <f t="shared" ref="BI13" si="76">IFERROR(BG13/#REF!-1,)</f>
        <v>0</v>
      </c>
      <c r="BJ13" s="382">
        <v>294.51956199999995</v>
      </c>
      <c r="BK13" s="380">
        <f t="shared" si="33"/>
        <v>-7.6658584971910249E-2</v>
      </c>
      <c r="BL13" s="381">
        <f t="shared" si="54"/>
        <v>0</v>
      </c>
      <c r="BM13" s="382">
        <v>368.28699999999998</v>
      </c>
      <c r="BN13" s="380">
        <f t="shared" si="34"/>
        <v>0.25046702330760651</v>
      </c>
      <c r="BO13" s="383">
        <f t="shared" si="55"/>
        <v>2.5866753666660172</v>
      </c>
      <c r="BP13" s="379">
        <v>132.08099999999999</v>
      </c>
      <c r="BQ13" s="380">
        <f t="shared" si="35"/>
        <v>-0.64136393627795707</v>
      </c>
      <c r="BR13" s="381">
        <f t="shared" si="36"/>
        <v>1.0551740981311437</v>
      </c>
      <c r="BS13" s="382">
        <v>332.43</v>
      </c>
      <c r="BT13" s="380">
        <f t="shared" si="37"/>
        <v>1.5168646512367414</v>
      </c>
      <c r="BU13" s="381">
        <f t="shared" si="38"/>
        <v>4.2193545696594281E-2</v>
      </c>
      <c r="BV13" s="382">
        <v>367.56200000000001</v>
      </c>
      <c r="BW13" s="380">
        <f t="shared" si="39"/>
        <v>0.10568239930210876</v>
      </c>
      <c r="BX13" s="381">
        <f t="shared" si="40"/>
        <v>0.24800538715998788</v>
      </c>
      <c r="BY13" s="382">
        <v>51.542000000000002</v>
      </c>
      <c r="BZ13" s="380">
        <f t="shared" si="41"/>
        <v>-0.85977331715465688</v>
      </c>
      <c r="CA13" s="383">
        <f t="shared" si="42"/>
        <v>-0.86004936367561169</v>
      </c>
      <c r="CB13" s="379">
        <v>110</v>
      </c>
      <c r="CC13" s="380">
        <f t="shared" si="43"/>
        <v>1.1341818322921111</v>
      </c>
      <c r="CD13" s="381">
        <f t="shared" si="44"/>
        <v>-0.16717771670414361</v>
      </c>
      <c r="CE13" s="903"/>
      <c r="CF13" s="904"/>
      <c r="CG13" s="905"/>
      <c r="CH13" s="903"/>
      <c r="CI13" s="904"/>
      <c r="CJ13" s="905"/>
      <c r="CK13" s="382"/>
      <c r="CL13" s="380" t="e">
        <f t="shared" si="48"/>
        <v>#DIV/0!</v>
      </c>
      <c r="CM13" s="383">
        <f t="shared" si="49"/>
        <v>-1</v>
      </c>
      <c r="CN13" s="569"/>
      <c r="CO13" s="382"/>
    </row>
    <row r="14" spans="1:93" ht="16.2" customHeight="1" outlineLevel="1" x14ac:dyDescent="0.4">
      <c r="A14" s="156">
        <f t="shared" si="50"/>
        <v>13</v>
      </c>
      <c r="B14" s="112" t="s">
        <v>161</v>
      </c>
      <c r="C14" s="113" t="s">
        <v>293</v>
      </c>
      <c r="D14" s="756">
        <v>21.449000000000002</v>
      </c>
      <c r="E14" s="757">
        <v>21.449000000000002</v>
      </c>
      <c r="F14" s="757">
        <v>21.449000000000002</v>
      </c>
      <c r="G14" s="378">
        <v>15.468</v>
      </c>
      <c r="H14" s="379">
        <v>3.5070000000000001</v>
      </c>
      <c r="I14" s="380">
        <v>0</v>
      </c>
      <c r="J14" s="381">
        <f t="shared" si="1"/>
        <v>-0.83649587393351665</v>
      </c>
      <c r="K14" s="382">
        <v>3.5070000000000001</v>
      </c>
      <c r="L14" s="380">
        <v>0</v>
      </c>
      <c r="M14" s="381">
        <f t="shared" si="3"/>
        <v>-0.83649587393351665</v>
      </c>
      <c r="N14" s="382">
        <v>1.169</v>
      </c>
      <c r="O14" s="380">
        <f t="shared" si="4"/>
        <v>-0.66666666666666674</v>
      </c>
      <c r="P14" s="381">
        <f t="shared" si="5"/>
        <v>-0.94549862464450563</v>
      </c>
      <c r="Q14" s="382">
        <v>-1E-3</v>
      </c>
      <c r="R14" s="380">
        <f t="shared" si="6"/>
        <v>-1.0008554319931566</v>
      </c>
      <c r="S14" s="383">
        <f t="shared" si="7"/>
        <v>-1.0000646495991725</v>
      </c>
      <c r="T14" s="379" t="s">
        <v>3</v>
      </c>
      <c r="U14" s="380" t="s">
        <v>3</v>
      </c>
      <c r="V14" s="381">
        <f t="shared" si="9"/>
        <v>0</v>
      </c>
      <c r="W14" s="382" t="s">
        <v>3</v>
      </c>
      <c r="X14" s="380" t="s">
        <v>3</v>
      </c>
      <c r="Y14" s="381">
        <f t="shared" si="11"/>
        <v>0</v>
      </c>
      <c r="Z14" s="382" t="s">
        <v>3</v>
      </c>
      <c r="AA14" s="380" t="s">
        <v>3</v>
      </c>
      <c r="AB14" s="381">
        <f t="shared" si="13"/>
        <v>0</v>
      </c>
      <c r="AC14" s="382" t="s">
        <v>3</v>
      </c>
      <c r="AD14" s="380" t="s">
        <v>3</v>
      </c>
      <c r="AE14" s="383">
        <f t="shared" si="15"/>
        <v>0</v>
      </c>
      <c r="AF14" s="379" t="s">
        <v>3</v>
      </c>
      <c r="AG14" s="380" t="s">
        <v>3</v>
      </c>
      <c r="AH14" s="381">
        <f t="shared" si="17"/>
        <v>0</v>
      </c>
      <c r="AI14" s="382" t="s">
        <v>3</v>
      </c>
      <c r="AJ14" s="380" t="s">
        <v>3</v>
      </c>
      <c r="AK14" s="381">
        <f t="shared" si="19"/>
        <v>0</v>
      </c>
      <c r="AL14" s="382" t="s">
        <v>3</v>
      </c>
      <c r="AM14" s="380" t="s">
        <v>3</v>
      </c>
      <c r="AN14" s="381">
        <f t="shared" si="21"/>
        <v>0</v>
      </c>
      <c r="AO14" s="382" t="s">
        <v>3</v>
      </c>
      <c r="AP14" s="380" t="s">
        <v>3</v>
      </c>
      <c r="AQ14" s="383">
        <f t="shared" si="23"/>
        <v>0</v>
      </c>
      <c r="AR14" s="379">
        <v>0</v>
      </c>
      <c r="AS14" s="380" t="s">
        <v>3</v>
      </c>
      <c r="AT14" s="381">
        <f t="shared" si="25"/>
        <v>0</v>
      </c>
      <c r="AU14" s="382">
        <v>0</v>
      </c>
      <c r="AV14" s="380" t="s">
        <v>3</v>
      </c>
      <c r="AW14" s="381">
        <f t="shared" si="27"/>
        <v>0</v>
      </c>
      <c r="AX14" s="382">
        <v>0</v>
      </c>
      <c r="AY14" s="380" t="s">
        <v>3</v>
      </c>
      <c r="AZ14" s="381">
        <f t="shared" si="29"/>
        <v>0</v>
      </c>
      <c r="BA14" s="382">
        <v>0</v>
      </c>
      <c r="BB14" s="380" t="s">
        <v>3</v>
      </c>
      <c r="BC14" s="383">
        <f t="shared" si="31"/>
        <v>0</v>
      </c>
      <c r="BD14" s="379">
        <v>11.087277</v>
      </c>
      <c r="BE14" s="380">
        <v>0</v>
      </c>
      <c r="BF14" s="381">
        <f t="shared" ref="BF14" si="77">IFERROR(BD14/#REF!-1,)</f>
        <v>0</v>
      </c>
      <c r="BG14" s="382">
        <v>505.73928699999999</v>
      </c>
      <c r="BH14" s="380">
        <v>0</v>
      </c>
      <c r="BI14" s="381">
        <f t="shared" ref="BI14" si="78">IFERROR(BG14/#REF!-1,)</f>
        <v>0</v>
      </c>
      <c r="BJ14" s="382">
        <v>505.94600500000001</v>
      </c>
      <c r="BK14" s="380">
        <v>0</v>
      </c>
      <c r="BL14" s="381">
        <f t="shared" si="54"/>
        <v>0</v>
      </c>
      <c r="BM14" s="382">
        <v>505.94600000000003</v>
      </c>
      <c r="BN14" s="380">
        <v>0</v>
      </c>
      <c r="BO14" s="383">
        <f t="shared" si="55"/>
        <v>22.588325796074407</v>
      </c>
      <c r="BP14" s="379">
        <v>420.39499999999998</v>
      </c>
      <c r="BQ14" s="380">
        <f t="shared" si="35"/>
        <v>-0.16909116783214029</v>
      </c>
      <c r="BR14" s="381">
        <f t="shared" si="36"/>
        <v>36.916884371158041</v>
      </c>
      <c r="BS14" s="382">
        <v>366.75200000000001</v>
      </c>
      <c r="BT14" s="380">
        <v>0</v>
      </c>
      <c r="BU14" s="381">
        <f t="shared" si="38"/>
        <v>-0.27482003192684534</v>
      </c>
      <c r="BV14" s="382">
        <v>570.86800000000005</v>
      </c>
      <c r="BW14" s="380">
        <v>0</v>
      </c>
      <c r="BX14" s="381">
        <f t="shared" si="40"/>
        <v>0.1283180306957854</v>
      </c>
      <c r="BY14" s="382">
        <v>600.09500000000003</v>
      </c>
      <c r="BZ14" s="380">
        <v>0</v>
      </c>
      <c r="CA14" s="383">
        <f t="shared" si="42"/>
        <v>0.186085076272962</v>
      </c>
      <c r="CB14" s="379">
        <v>1220</v>
      </c>
      <c r="CC14" s="380">
        <f t="shared" si="43"/>
        <v>1.0330114398553563</v>
      </c>
      <c r="CD14" s="381">
        <f t="shared" si="44"/>
        <v>1.9020326121861584</v>
      </c>
      <c r="CE14" s="903"/>
      <c r="CF14" s="904"/>
      <c r="CG14" s="905"/>
      <c r="CH14" s="903"/>
      <c r="CI14" s="904"/>
      <c r="CJ14" s="905"/>
      <c r="CK14" s="382"/>
      <c r="CL14" s="380" t="e">
        <f t="shared" si="48"/>
        <v>#DIV/0!</v>
      </c>
      <c r="CM14" s="383">
        <f t="shared" si="49"/>
        <v>-1</v>
      </c>
      <c r="CO14" s="382"/>
    </row>
    <row r="15" spans="1:93" ht="16.2" customHeight="1" outlineLevel="1" x14ac:dyDescent="0.4">
      <c r="A15" s="156">
        <f t="shared" si="50"/>
        <v>14</v>
      </c>
      <c r="B15" s="112" t="s">
        <v>162</v>
      </c>
      <c r="C15" s="113" t="s">
        <v>295</v>
      </c>
      <c r="D15" s="756">
        <v>86.313000000000002</v>
      </c>
      <c r="E15" s="757">
        <v>121.852</v>
      </c>
      <c r="F15" s="757">
        <v>102.985</v>
      </c>
      <c r="G15" s="378">
        <v>121.78</v>
      </c>
      <c r="H15" s="379">
        <v>115.982</v>
      </c>
      <c r="I15" s="380">
        <f t="shared" ref="I15:I32" si="79">H15/G15-1</f>
        <v>-4.761044506487111E-2</v>
      </c>
      <c r="J15" s="381">
        <f t="shared" si="1"/>
        <v>0.34373732809657875</v>
      </c>
      <c r="K15" s="382">
        <v>111.672</v>
      </c>
      <c r="L15" s="380">
        <f t="shared" ref="L15:L29" si="80">K15/H15-1</f>
        <v>-3.7160938766360285E-2</v>
      </c>
      <c r="M15" s="381">
        <f t="shared" si="3"/>
        <v>-8.3543971375110826E-2</v>
      </c>
      <c r="N15" s="382">
        <v>70.001000000000005</v>
      </c>
      <c r="O15" s="380">
        <f t="shared" si="4"/>
        <v>-0.37315531198509921</v>
      </c>
      <c r="P15" s="381">
        <f t="shared" si="5"/>
        <v>-0.32027965237655964</v>
      </c>
      <c r="Q15" s="382">
        <v>101.26</v>
      </c>
      <c r="R15" s="380">
        <f t="shared" si="6"/>
        <v>0.44655076356052059</v>
      </c>
      <c r="S15" s="383">
        <f t="shared" si="7"/>
        <v>-0.16850057480702907</v>
      </c>
      <c r="T15" s="379">
        <v>45.539000000000001</v>
      </c>
      <c r="U15" s="380">
        <f t="shared" ref="U15:U32" si="81">T15/Q15-1</f>
        <v>-0.55027651589966431</v>
      </c>
      <c r="V15" s="381">
        <f t="shared" si="9"/>
        <v>-0.60736148712731286</v>
      </c>
      <c r="W15" s="382">
        <v>-11.041</v>
      </c>
      <c r="X15" s="380">
        <f t="shared" ref="X15:X32" si="82">W15/T15-1</f>
        <v>-1.2424515250664265</v>
      </c>
      <c r="Y15" s="381">
        <f t="shared" si="11"/>
        <v>-1.0988699047209685</v>
      </c>
      <c r="Z15" s="382">
        <v>-0.71899999999999997</v>
      </c>
      <c r="AA15" s="380">
        <f t="shared" ref="AA15:AA32" si="83">Z15/W15-1</f>
        <v>-0.9348790870392174</v>
      </c>
      <c r="AB15" s="381">
        <f t="shared" si="13"/>
        <v>-1.0102712818388309</v>
      </c>
      <c r="AC15" s="382">
        <v>5.2060000000000004</v>
      </c>
      <c r="AD15" s="380">
        <f t="shared" ref="AD15:AD32" si="84">AC15/Z15-1</f>
        <v>-8.2406119610570236</v>
      </c>
      <c r="AE15" s="383">
        <f t="shared" si="15"/>
        <v>-0.9485877937981434</v>
      </c>
      <c r="AF15" s="379">
        <v>1.6359999999999999</v>
      </c>
      <c r="AG15" s="380">
        <f t="shared" ref="AG15:AG32" si="85">AF15/AC15-1</f>
        <v>-0.68574721475220901</v>
      </c>
      <c r="AH15" s="381">
        <f t="shared" si="17"/>
        <v>-0.96407474911614222</v>
      </c>
      <c r="AI15" s="382">
        <v>1.042</v>
      </c>
      <c r="AJ15" s="380">
        <f t="shared" ref="AJ15:AJ32" si="86">AI15/AF15-1</f>
        <v>-0.36308068459657694</v>
      </c>
      <c r="AK15" s="381">
        <f t="shared" si="19"/>
        <v>-1.0943755094647223</v>
      </c>
      <c r="AL15" s="382">
        <v>1.2829999999999999</v>
      </c>
      <c r="AM15" s="380">
        <f t="shared" ref="AM15:AM32" si="87">AL15/AI15-1</f>
        <v>0.23128598848368509</v>
      </c>
      <c r="AN15" s="381">
        <f t="shared" si="21"/>
        <v>-2.7844228094575803</v>
      </c>
      <c r="AO15" s="382">
        <v>3.407</v>
      </c>
      <c r="AP15" s="380">
        <f>AO15/AL15-1</f>
        <v>1.6554949337490261</v>
      </c>
      <c r="AQ15" s="383">
        <f t="shared" si="23"/>
        <v>-0.34556281213983864</v>
      </c>
      <c r="AR15" s="379">
        <v>27.038</v>
      </c>
      <c r="AS15" s="380">
        <f>AR15/AO15-1</f>
        <v>6.9360140886410333</v>
      </c>
      <c r="AT15" s="381">
        <f t="shared" si="25"/>
        <v>15.526894865525673</v>
      </c>
      <c r="AU15" s="382">
        <v>83.067340000000002</v>
      </c>
      <c r="AV15" s="380">
        <f t="shared" ref="AV15:AV32" si="88">AU15/AR15-1</f>
        <v>2.072244248834973</v>
      </c>
      <c r="AW15" s="381">
        <f t="shared" si="27"/>
        <v>78.719136276391552</v>
      </c>
      <c r="AX15" s="382">
        <v>21.423727</v>
      </c>
      <c r="AY15" s="380">
        <f t="shared" ref="AY15:AY32" si="89">AX15/AU15-1</f>
        <v>-0.74209205447050552</v>
      </c>
      <c r="AZ15" s="381">
        <f t="shared" si="29"/>
        <v>15.698150428682776</v>
      </c>
      <c r="BA15" s="382">
        <v>181.33514799999998</v>
      </c>
      <c r="BB15" s="380">
        <f t="shared" ref="BB15:BB32" si="90">BA15/AX15-1</f>
        <v>7.4642204411958755</v>
      </c>
      <c r="BC15" s="383">
        <f t="shared" si="31"/>
        <v>52.224287643087756</v>
      </c>
      <c r="BD15" s="379">
        <v>297.81257699999998</v>
      </c>
      <c r="BE15" s="380">
        <f t="shared" ref="BE15:BE32" si="91">BD15/E15-1</f>
        <v>1.4440516117913531</v>
      </c>
      <c r="BF15" s="381">
        <f t="shared" ref="BF15" si="92">IFERROR(BD15/#REF!-1,)</f>
        <v>0</v>
      </c>
      <c r="BG15" s="382">
        <v>205.480391</v>
      </c>
      <c r="BH15" s="380">
        <f t="shared" ref="BH15:BH32" si="93">BG15/BD15-1</f>
        <v>-0.3100345422953712</v>
      </c>
      <c r="BI15" s="381">
        <f t="shared" ref="BI15" si="94">IFERROR(BG15/#REF!-1,)</f>
        <v>0</v>
      </c>
      <c r="BJ15" s="382">
        <v>329.74875400000002</v>
      </c>
      <c r="BK15" s="380">
        <f t="shared" ref="BK15:BK32" si="95">BJ15/BG15-1</f>
        <v>0.60476993641695009</v>
      </c>
      <c r="BL15" s="381">
        <f t="shared" si="54"/>
        <v>0</v>
      </c>
      <c r="BM15" s="382">
        <v>178.56</v>
      </c>
      <c r="BN15" s="380">
        <f t="shared" ref="BN15:BN32" si="96">BM15/BJ15-1</f>
        <v>-0.45849681663998043</v>
      </c>
      <c r="BO15" s="383">
        <f t="shared" si="55"/>
        <v>0.46538423661490991</v>
      </c>
      <c r="BP15" s="379">
        <v>360.69</v>
      </c>
      <c r="BQ15" s="380">
        <f t="shared" si="35"/>
        <v>1.0199932795698925</v>
      </c>
      <c r="BR15" s="381">
        <f t="shared" si="36"/>
        <v>0.21113085160268441</v>
      </c>
      <c r="BS15" s="382">
        <v>297.80900000000003</v>
      </c>
      <c r="BT15" s="380">
        <f t="shared" ref="BT15:BT29" si="97">BS15/BP15-1</f>
        <v>-0.17433530178269419</v>
      </c>
      <c r="BU15" s="381">
        <f t="shared" si="38"/>
        <v>0.44933051056925444</v>
      </c>
      <c r="BV15" s="382">
        <v>201.619</v>
      </c>
      <c r="BW15" s="380">
        <f t="shared" ref="BW15:BW29" si="98">BV15/BS15-1</f>
        <v>-0.32299225342417459</v>
      </c>
      <c r="BX15" s="381">
        <f t="shared" si="40"/>
        <v>-0.38856781851554778</v>
      </c>
      <c r="BY15" s="382">
        <v>371.60500000000002</v>
      </c>
      <c r="BZ15" s="380">
        <f t="shared" ref="BZ15:BZ29" si="99">BY15/BV15-1</f>
        <v>0.8431050645028495</v>
      </c>
      <c r="CA15" s="383">
        <f t="shared" si="42"/>
        <v>1.0811211917562726</v>
      </c>
      <c r="CB15" s="379">
        <v>341</v>
      </c>
      <c r="CC15" s="380">
        <f t="shared" si="43"/>
        <v>-8.2358956418777995E-2</v>
      </c>
      <c r="CD15" s="381">
        <f t="shared" si="44"/>
        <v>-5.458981396767304E-2</v>
      </c>
      <c r="CE15" s="903"/>
      <c r="CF15" s="904"/>
      <c r="CG15" s="905"/>
      <c r="CH15" s="903"/>
      <c r="CI15" s="904"/>
      <c r="CJ15" s="905"/>
      <c r="CK15" s="382"/>
      <c r="CL15" s="380" t="e">
        <f t="shared" si="48"/>
        <v>#DIV/0!</v>
      </c>
      <c r="CM15" s="383">
        <f t="shared" si="49"/>
        <v>-1</v>
      </c>
      <c r="CO15" s="382"/>
    </row>
    <row r="16" spans="1:93" ht="16.2" customHeight="1" outlineLevel="1" x14ac:dyDescent="0.4">
      <c r="A16" s="156">
        <f t="shared" si="50"/>
        <v>15</v>
      </c>
      <c r="B16" s="112" t="s">
        <v>50</v>
      </c>
      <c r="C16" s="113" t="s">
        <v>294</v>
      </c>
      <c r="D16" s="756">
        <v>6.98</v>
      </c>
      <c r="E16" s="757">
        <v>2.0939999999999999</v>
      </c>
      <c r="F16" s="757">
        <v>3.9</v>
      </c>
      <c r="G16" s="378">
        <v>6.88</v>
      </c>
      <c r="H16" s="379">
        <v>8.3049999999999997</v>
      </c>
      <c r="I16" s="380">
        <f t="shared" si="79"/>
        <v>0.20712209302325579</v>
      </c>
      <c r="J16" s="381">
        <f t="shared" si="1"/>
        <v>0.18982808022922626</v>
      </c>
      <c r="K16" s="382">
        <v>14.113</v>
      </c>
      <c r="L16" s="380">
        <f t="shared" si="80"/>
        <v>0.69933774834437079</v>
      </c>
      <c r="M16" s="381">
        <f t="shared" si="3"/>
        <v>5.7397325692454633</v>
      </c>
      <c r="N16" s="382">
        <v>11.329000000000001</v>
      </c>
      <c r="O16" s="380">
        <f t="shared" si="4"/>
        <v>-0.19726493304045911</v>
      </c>
      <c r="P16" s="381">
        <f t="shared" si="5"/>
        <v>1.904871794871795</v>
      </c>
      <c r="Q16" s="382">
        <v>75.156000000000006</v>
      </c>
      <c r="R16" s="380">
        <f t="shared" si="6"/>
        <v>5.633948274340189</v>
      </c>
      <c r="S16" s="383">
        <f t="shared" si="7"/>
        <v>9.9238372093023273</v>
      </c>
      <c r="T16" s="379">
        <v>6.5110000000000001</v>
      </c>
      <c r="U16" s="380">
        <f t="shared" si="81"/>
        <v>-0.91336686359039865</v>
      </c>
      <c r="V16" s="381">
        <f t="shared" si="9"/>
        <v>-0.21601444912703183</v>
      </c>
      <c r="W16" s="382">
        <v>7.0659999999999998</v>
      </c>
      <c r="X16" s="380">
        <f t="shared" si="82"/>
        <v>8.5240362463523178E-2</v>
      </c>
      <c r="Y16" s="381">
        <f t="shared" si="11"/>
        <v>-0.49932686175866225</v>
      </c>
      <c r="Z16" s="382">
        <v>14.558999999999999</v>
      </c>
      <c r="AA16" s="380">
        <f t="shared" si="83"/>
        <v>1.0604302292669119</v>
      </c>
      <c r="AB16" s="381">
        <f t="shared" si="13"/>
        <v>0.28510901226939689</v>
      </c>
      <c r="AC16" s="382">
        <v>24.457999999999998</v>
      </c>
      <c r="AD16" s="380">
        <f t="shared" si="84"/>
        <v>0.67992307163953569</v>
      </c>
      <c r="AE16" s="383">
        <f t="shared" si="15"/>
        <v>-0.67457022726063132</v>
      </c>
      <c r="AF16" s="379">
        <v>4.38</v>
      </c>
      <c r="AG16" s="380">
        <f t="shared" si="85"/>
        <v>-0.82091749120942026</v>
      </c>
      <c r="AH16" s="381">
        <f t="shared" si="17"/>
        <v>-0.32729227461219479</v>
      </c>
      <c r="AI16" s="382">
        <v>11.852</v>
      </c>
      <c r="AJ16" s="380">
        <f t="shared" si="86"/>
        <v>1.7059360730593607</v>
      </c>
      <c r="AK16" s="381">
        <f t="shared" si="19"/>
        <v>0.67732804981602057</v>
      </c>
      <c r="AL16" s="382">
        <v>10.122999999999999</v>
      </c>
      <c r="AM16" s="380">
        <f t="shared" si="87"/>
        <v>-0.14588255146810669</v>
      </c>
      <c r="AN16" s="381">
        <f t="shared" si="21"/>
        <v>-0.30469125626760085</v>
      </c>
      <c r="AO16" s="382">
        <v>10.77</v>
      </c>
      <c r="AP16" s="380">
        <f>AO16/AL16-1</f>
        <v>6.3913859527807926E-2</v>
      </c>
      <c r="AQ16" s="383">
        <f t="shared" si="23"/>
        <v>-0.55965328317932783</v>
      </c>
      <c r="AR16" s="379">
        <v>0.79100000000000004</v>
      </c>
      <c r="AS16" s="380">
        <f>AR16/AO16-1</f>
        <v>-0.92655524605385331</v>
      </c>
      <c r="AT16" s="381">
        <f t="shared" si="25"/>
        <v>-0.8194063926940639</v>
      </c>
      <c r="AU16" s="382">
        <v>15.033637000000001</v>
      </c>
      <c r="AV16" s="380">
        <f t="shared" si="88"/>
        <v>18.005862199747156</v>
      </c>
      <c r="AW16" s="381">
        <f t="shared" si="27"/>
        <v>0.26844726628417148</v>
      </c>
      <c r="AX16" s="382">
        <v>12.58849</v>
      </c>
      <c r="AY16" s="380">
        <f t="shared" si="89"/>
        <v>-0.16264507384340865</v>
      </c>
      <c r="AZ16" s="381">
        <f t="shared" si="29"/>
        <v>0.24355329447792173</v>
      </c>
      <c r="BA16" s="382">
        <v>30.456054999999999</v>
      </c>
      <c r="BB16" s="380">
        <f t="shared" si="90"/>
        <v>1.4193572859016448</v>
      </c>
      <c r="BC16" s="383">
        <f t="shared" si="31"/>
        <v>1.82786025998143</v>
      </c>
      <c r="BD16" s="379">
        <v>57.180141000000006</v>
      </c>
      <c r="BE16" s="380">
        <f t="shared" si="91"/>
        <v>26.306657593123212</v>
      </c>
      <c r="BF16" s="381">
        <f t="shared" ref="BF16" si="100">IFERROR(BD16/#REF!-1,)</f>
        <v>0</v>
      </c>
      <c r="BG16" s="382">
        <v>36.38579</v>
      </c>
      <c r="BH16" s="380">
        <f t="shared" si="93"/>
        <v>-0.36366386364804526</v>
      </c>
      <c r="BI16" s="381">
        <f t="shared" ref="BI16" si="101">IFERROR(BG16/#REF!-1,)</f>
        <v>0</v>
      </c>
      <c r="BJ16" s="382">
        <v>40.064523000000001</v>
      </c>
      <c r="BK16" s="380">
        <f t="shared" si="95"/>
        <v>0.10110356268202514</v>
      </c>
      <c r="BL16" s="381">
        <f t="shared" si="54"/>
        <v>0</v>
      </c>
      <c r="BM16" s="382">
        <v>46.426000000000002</v>
      </c>
      <c r="BN16" s="380">
        <f t="shared" si="96"/>
        <v>0.15878079966158598</v>
      </c>
      <c r="BO16" s="383">
        <f t="shared" si="55"/>
        <v>21.170964660936011</v>
      </c>
      <c r="BP16" s="379">
        <v>49.115000000000002</v>
      </c>
      <c r="BQ16" s="380">
        <f t="shared" si="35"/>
        <v>5.7920130961099492E-2</v>
      </c>
      <c r="BR16" s="381">
        <f t="shared" si="36"/>
        <v>-0.1410479383043145</v>
      </c>
      <c r="BS16" s="382">
        <v>61.862000000000002</v>
      </c>
      <c r="BT16" s="380">
        <f t="shared" si="97"/>
        <v>0.25953374732770018</v>
      </c>
      <c r="BU16" s="381">
        <f t="shared" si="38"/>
        <v>0.70016921441035085</v>
      </c>
      <c r="BV16" s="382">
        <v>46.462000000000003</v>
      </c>
      <c r="BW16" s="380">
        <f t="shared" si="98"/>
        <v>-0.24894119168471762</v>
      </c>
      <c r="BX16" s="381">
        <f t="shared" si="40"/>
        <v>0.15967935023212432</v>
      </c>
      <c r="BY16" s="382">
        <v>79.42</v>
      </c>
      <c r="BZ16" s="380">
        <f t="shared" si="99"/>
        <v>0.70935388059059012</v>
      </c>
      <c r="CA16" s="383">
        <f t="shared" si="42"/>
        <v>0.71067936070305437</v>
      </c>
      <c r="CB16" s="379">
        <v>86</v>
      </c>
      <c r="CC16" s="380">
        <f t="shared" si="43"/>
        <v>8.28506673382019E-2</v>
      </c>
      <c r="CD16" s="381">
        <f t="shared" si="44"/>
        <v>0.75099256846177331</v>
      </c>
      <c r="CE16" s="903"/>
      <c r="CF16" s="904"/>
      <c r="CG16" s="905"/>
      <c r="CH16" s="903"/>
      <c r="CI16" s="904"/>
      <c r="CJ16" s="905"/>
      <c r="CK16" s="382"/>
      <c r="CL16" s="380" t="e">
        <f t="shared" si="48"/>
        <v>#DIV/0!</v>
      </c>
      <c r="CM16" s="383">
        <f t="shared" si="49"/>
        <v>-1</v>
      </c>
      <c r="CO16" s="382"/>
    </row>
    <row r="17" spans="1:93" ht="16.2" customHeight="1" outlineLevel="1" x14ac:dyDescent="0.4">
      <c r="A17" s="156">
        <f t="shared" si="50"/>
        <v>16</v>
      </c>
      <c r="B17" s="112" t="s">
        <v>163</v>
      </c>
      <c r="C17" s="113" t="s">
        <v>65</v>
      </c>
      <c r="D17" s="756">
        <v>7.8369999999999997</v>
      </c>
      <c r="E17" s="757">
        <v>8.0359999999999996</v>
      </c>
      <c r="F17" s="757">
        <v>8.0220000000000002</v>
      </c>
      <c r="G17" s="378">
        <v>5.4889999999999999</v>
      </c>
      <c r="H17" s="379">
        <v>8.2189999999999994</v>
      </c>
      <c r="I17" s="380">
        <f t="shared" si="79"/>
        <v>0.49735835306977583</v>
      </c>
      <c r="J17" s="381">
        <f t="shared" si="1"/>
        <v>4.8743141508230226E-2</v>
      </c>
      <c r="K17" s="382">
        <v>9.1300000000000008</v>
      </c>
      <c r="L17" s="380">
        <f t="shared" si="80"/>
        <v>0.11084073488258928</v>
      </c>
      <c r="M17" s="381">
        <f t="shared" si="3"/>
        <v>0.13613738178198131</v>
      </c>
      <c r="N17" s="382">
        <v>8.4740000000000002</v>
      </c>
      <c r="O17" s="380">
        <f t="shared" si="4"/>
        <v>-7.1851040525739429E-2</v>
      </c>
      <c r="P17" s="381">
        <f t="shared" si="5"/>
        <v>5.6345051109448985E-2</v>
      </c>
      <c r="Q17" s="382">
        <v>9.0050000000000008</v>
      </c>
      <c r="R17" s="380">
        <f t="shared" si="6"/>
        <v>6.2662261033750388E-2</v>
      </c>
      <c r="S17" s="383">
        <f t="shared" si="7"/>
        <v>0.64055383494261275</v>
      </c>
      <c r="T17" s="379">
        <v>9.0370000000000008</v>
      </c>
      <c r="U17" s="380">
        <f t="shared" si="81"/>
        <v>3.5535813436979868E-3</v>
      </c>
      <c r="V17" s="381">
        <f t="shared" si="9"/>
        <v>9.9525489718944149E-2</v>
      </c>
      <c r="W17" s="382">
        <v>8.5630000000000006</v>
      </c>
      <c r="X17" s="380">
        <f t="shared" si="82"/>
        <v>-5.2451034635387916E-2</v>
      </c>
      <c r="Y17" s="381">
        <f t="shared" si="11"/>
        <v>-6.2102957283680205E-2</v>
      </c>
      <c r="Z17" s="382">
        <v>8.0719999999999992</v>
      </c>
      <c r="AA17" s="380">
        <f t="shared" si="83"/>
        <v>-5.7339717388765754E-2</v>
      </c>
      <c r="AB17" s="381">
        <f t="shared" si="13"/>
        <v>-4.7439225867359047E-2</v>
      </c>
      <c r="AC17" s="382">
        <v>8.1579999999999995</v>
      </c>
      <c r="AD17" s="380">
        <f t="shared" si="84"/>
        <v>1.0654112983151665E-2</v>
      </c>
      <c r="AE17" s="383">
        <f t="shared" si="15"/>
        <v>-9.405885619100518E-2</v>
      </c>
      <c r="AF17" s="379">
        <v>8.8840000000000003</v>
      </c>
      <c r="AG17" s="380">
        <f t="shared" si="85"/>
        <v>8.8992400098063307E-2</v>
      </c>
      <c r="AH17" s="381">
        <f t="shared" si="17"/>
        <v>-1.6930397255726537E-2</v>
      </c>
      <c r="AI17" s="382">
        <v>8.4779999999999998</v>
      </c>
      <c r="AJ17" s="380">
        <f t="shared" si="86"/>
        <v>-4.5700135074290937E-2</v>
      </c>
      <c r="AK17" s="381">
        <f t="shared" si="19"/>
        <v>-9.9264276538597596E-3</v>
      </c>
      <c r="AL17" s="382">
        <v>18.481999999999999</v>
      </c>
      <c r="AM17" s="380">
        <f t="shared" si="87"/>
        <v>1.1799952819061099</v>
      </c>
      <c r="AN17" s="381">
        <f t="shared" si="21"/>
        <v>1.2896432111000991</v>
      </c>
      <c r="AO17" s="382">
        <v>0</v>
      </c>
      <c r="AP17" s="380"/>
      <c r="AQ17" s="383">
        <f t="shared" si="23"/>
        <v>-1</v>
      </c>
      <c r="AR17" s="379">
        <v>8.4570000000000007</v>
      </c>
      <c r="AS17" s="380"/>
      <c r="AT17" s="381">
        <f t="shared" si="25"/>
        <v>-4.8063935164340377E-2</v>
      </c>
      <c r="AU17" s="382">
        <v>7.1775089999999997</v>
      </c>
      <c r="AV17" s="380">
        <f t="shared" si="88"/>
        <v>-0.15129372117772266</v>
      </c>
      <c r="AW17" s="381">
        <f t="shared" si="27"/>
        <v>-0.15339596602972405</v>
      </c>
      <c r="AX17" s="382">
        <v>8.8197710000000011</v>
      </c>
      <c r="AY17" s="380">
        <f t="shared" si="89"/>
        <v>0.22880667930893583</v>
      </c>
      <c r="AZ17" s="381">
        <f t="shared" si="29"/>
        <v>-0.52279131046423544</v>
      </c>
      <c r="BA17" s="382">
        <v>12.125935</v>
      </c>
      <c r="BB17" s="380">
        <f t="shared" si="90"/>
        <v>0.37485825879152634</v>
      </c>
      <c r="BC17" s="383">
        <f t="shared" si="31"/>
        <v>0</v>
      </c>
      <c r="BD17" s="379">
        <v>14.199509000000001</v>
      </c>
      <c r="BE17" s="380">
        <f t="shared" si="91"/>
        <v>0.76698718267794952</v>
      </c>
      <c r="BF17" s="381">
        <f t="shared" ref="BF17" si="102">IFERROR(BD17/#REF!-1,)</f>
        <v>0</v>
      </c>
      <c r="BG17" s="382">
        <v>11.701801</v>
      </c>
      <c r="BH17" s="380">
        <f t="shared" si="93"/>
        <v>-0.17590101178850626</v>
      </c>
      <c r="BI17" s="381">
        <f t="shared" ref="BI17" si="103">IFERROR(BG17/#REF!-1,)</f>
        <v>0</v>
      </c>
      <c r="BJ17" s="382">
        <v>9.9732070000000004</v>
      </c>
      <c r="BK17" s="380">
        <f t="shared" si="95"/>
        <v>-0.14772033809154672</v>
      </c>
      <c r="BL17" s="381">
        <f t="shared" si="54"/>
        <v>0</v>
      </c>
      <c r="BM17" s="382">
        <v>19.741</v>
      </c>
      <c r="BN17" s="380">
        <f t="shared" si="96"/>
        <v>0.97940341557134025</v>
      </c>
      <c r="BO17" s="383">
        <f t="shared" si="55"/>
        <v>1.4565704330512692</v>
      </c>
      <c r="BP17" s="379">
        <v>12.244</v>
      </c>
      <c r="BQ17" s="380">
        <f t="shared" si="35"/>
        <v>-0.37976799554227247</v>
      </c>
      <c r="BR17" s="381">
        <f t="shared" si="36"/>
        <v>-0.13771666330152688</v>
      </c>
      <c r="BS17" s="382">
        <v>13.321</v>
      </c>
      <c r="BT17" s="380">
        <f t="shared" si="97"/>
        <v>8.7961450506370387E-2</v>
      </c>
      <c r="BU17" s="381">
        <f t="shared" si="38"/>
        <v>0.13837177713071691</v>
      </c>
      <c r="BV17" s="382">
        <v>12.759</v>
      </c>
      <c r="BW17" s="380">
        <f t="shared" si="98"/>
        <v>-4.2189024847984369E-2</v>
      </c>
      <c r="BX17" s="381">
        <f t="shared" si="40"/>
        <v>0.27932770271388119</v>
      </c>
      <c r="BY17" s="382">
        <v>20.367999999999999</v>
      </c>
      <c r="BZ17" s="380">
        <f t="shared" si="99"/>
        <v>0.59636335135982432</v>
      </c>
      <c r="CA17" s="383">
        <f t="shared" si="42"/>
        <v>3.1761308950914335E-2</v>
      </c>
      <c r="CB17" s="379">
        <v>16</v>
      </c>
      <c r="CC17" s="380">
        <f t="shared" si="43"/>
        <v>-0.21445404556166525</v>
      </c>
      <c r="CD17" s="381">
        <f t="shared" si="44"/>
        <v>0.30676249591636728</v>
      </c>
      <c r="CE17" s="903"/>
      <c r="CF17" s="904"/>
      <c r="CG17" s="905"/>
      <c r="CH17" s="903"/>
      <c r="CI17" s="904"/>
      <c r="CJ17" s="905"/>
      <c r="CK17" s="382"/>
      <c r="CL17" s="380" t="e">
        <f t="shared" si="48"/>
        <v>#DIV/0!</v>
      </c>
      <c r="CM17" s="383">
        <f t="shared" si="49"/>
        <v>-1</v>
      </c>
      <c r="CO17" s="382"/>
    </row>
    <row r="18" spans="1:93" ht="16.2" customHeight="1" outlineLevel="1" x14ac:dyDescent="0.4">
      <c r="A18" s="156">
        <f t="shared" si="50"/>
        <v>17</v>
      </c>
      <c r="B18" s="112" t="s">
        <v>164</v>
      </c>
      <c r="C18" s="113" t="s">
        <v>296</v>
      </c>
      <c r="D18" s="756">
        <v>24.66</v>
      </c>
      <c r="E18" s="757">
        <v>15.311</v>
      </c>
      <c r="F18" s="757">
        <v>20.995000000000001</v>
      </c>
      <c r="G18" s="378">
        <v>18.510000000000002</v>
      </c>
      <c r="H18" s="379">
        <v>21.155999999999999</v>
      </c>
      <c r="I18" s="380">
        <f t="shared" si="79"/>
        <v>0.14294975688816836</v>
      </c>
      <c r="J18" s="381">
        <f t="shared" si="1"/>
        <v>-0.14209245742092458</v>
      </c>
      <c r="K18" s="382">
        <v>12.21</v>
      </c>
      <c r="L18" s="380">
        <f t="shared" si="80"/>
        <v>-0.42285876347135554</v>
      </c>
      <c r="M18" s="381">
        <f t="shared" si="3"/>
        <v>-0.20253412579191421</v>
      </c>
      <c r="N18" s="382">
        <v>16.606999999999999</v>
      </c>
      <c r="O18" s="380">
        <f t="shared" si="4"/>
        <v>0.36011466011465987</v>
      </c>
      <c r="P18" s="381">
        <f t="shared" si="5"/>
        <v>-0.20900214336746847</v>
      </c>
      <c r="Q18" s="382">
        <v>14.077999999999999</v>
      </c>
      <c r="R18" s="380">
        <f t="shared" si="6"/>
        <v>-0.15228518094779309</v>
      </c>
      <c r="S18" s="383">
        <f t="shared" si="7"/>
        <v>-0.23943814154511089</v>
      </c>
      <c r="T18" s="379">
        <v>18.751000000000001</v>
      </c>
      <c r="U18" s="380">
        <f t="shared" si="81"/>
        <v>0.33193635459582338</v>
      </c>
      <c r="V18" s="381">
        <f t="shared" si="9"/>
        <v>-0.11367933446776313</v>
      </c>
      <c r="W18" s="382">
        <v>10.707000000000001</v>
      </c>
      <c r="X18" s="380">
        <f t="shared" si="82"/>
        <v>-0.42899045384246171</v>
      </c>
      <c r="Y18" s="381">
        <f t="shared" si="11"/>
        <v>-0.12309582309582312</v>
      </c>
      <c r="Z18" s="382">
        <v>13.991</v>
      </c>
      <c r="AA18" s="380">
        <f t="shared" si="83"/>
        <v>0.30671523302512371</v>
      </c>
      <c r="AB18" s="381">
        <f t="shared" si="13"/>
        <v>-0.15752393568976941</v>
      </c>
      <c r="AC18" s="382">
        <v>14.689</v>
      </c>
      <c r="AD18" s="380">
        <f t="shared" si="84"/>
        <v>4.9889214495032475E-2</v>
      </c>
      <c r="AE18" s="383">
        <f t="shared" si="15"/>
        <v>4.3401051285693937E-2</v>
      </c>
      <c r="AF18" s="379">
        <v>27.149000000000001</v>
      </c>
      <c r="AG18" s="380">
        <f t="shared" si="85"/>
        <v>0.84825379535706991</v>
      </c>
      <c r="AH18" s="381">
        <f t="shared" si="17"/>
        <v>0.4478694469628286</v>
      </c>
      <c r="AI18" s="382">
        <v>15.755000000000001</v>
      </c>
      <c r="AJ18" s="380">
        <f t="shared" si="86"/>
        <v>-0.41968396626026738</v>
      </c>
      <c r="AK18" s="381">
        <f t="shared" si="19"/>
        <v>0.47146726440646303</v>
      </c>
      <c r="AL18" s="382">
        <v>21.038</v>
      </c>
      <c r="AM18" s="380">
        <f t="shared" si="87"/>
        <v>0.33532211996191674</v>
      </c>
      <c r="AN18" s="381">
        <f t="shared" si="21"/>
        <v>0.50368093774569367</v>
      </c>
      <c r="AO18" s="382">
        <v>18.922000000000001</v>
      </c>
      <c r="AP18" s="380">
        <f t="shared" ref="AP18:AP36" si="104">AO18/AL18-1</f>
        <v>-0.10057990303260766</v>
      </c>
      <c r="AQ18" s="383">
        <f t="shared" si="23"/>
        <v>0.28817482469875411</v>
      </c>
      <c r="AR18" s="379">
        <v>35.082999999999998</v>
      </c>
      <c r="AS18" s="380">
        <f t="shared" ref="AS18:AS32" si="105">AR18/AO18-1</f>
        <v>0.85408519184018594</v>
      </c>
      <c r="AT18" s="381">
        <f t="shared" si="25"/>
        <v>0.29223912482964365</v>
      </c>
      <c r="AU18" s="382">
        <v>33.594800000000006</v>
      </c>
      <c r="AV18" s="380">
        <f t="shared" si="88"/>
        <v>-4.2419405410027422E-2</v>
      </c>
      <c r="AW18" s="381">
        <f t="shared" si="27"/>
        <v>1.1323262456363063</v>
      </c>
      <c r="AX18" s="382">
        <v>44.243822000000002</v>
      </c>
      <c r="AY18" s="380">
        <f t="shared" si="89"/>
        <v>0.31698423565551792</v>
      </c>
      <c r="AZ18" s="381">
        <f t="shared" si="29"/>
        <v>1.1030431599961976</v>
      </c>
      <c r="BA18" s="382">
        <v>21.433001000000001</v>
      </c>
      <c r="BB18" s="380">
        <f t="shared" si="90"/>
        <v>-0.51557076149524339</v>
      </c>
      <c r="BC18" s="383">
        <f t="shared" si="31"/>
        <v>0.1327027269844625</v>
      </c>
      <c r="BD18" s="379">
        <v>50.389559999999996</v>
      </c>
      <c r="BE18" s="380">
        <f t="shared" si="91"/>
        <v>2.2910691659591143</v>
      </c>
      <c r="BF18" s="381">
        <f t="shared" ref="BF18" si="106">IFERROR(BD18/#REF!-1,)</f>
        <v>0</v>
      </c>
      <c r="BG18" s="382">
        <v>25.129489000000003</v>
      </c>
      <c r="BH18" s="380">
        <f t="shared" si="93"/>
        <v>-0.50129572474933282</v>
      </c>
      <c r="BI18" s="381">
        <f t="shared" ref="BI18" si="107">IFERROR(BG18/#REF!-1,)</f>
        <v>0</v>
      </c>
      <c r="BJ18" s="382">
        <v>41.697078999999995</v>
      </c>
      <c r="BK18" s="380">
        <f t="shared" si="95"/>
        <v>0.65928877423651522</v>
      </c>
      <c r="BL18" s="381">
        <f t="shared" si="54"/>
        <v>0</v>
      </c>
      <c r="BM18" s="382">
        <v>32.991999999999997</v>
      </c>
      <c r="BN18" s="380">
        <f t="shared" si="96"/>
        <v>-0.20876951596537496</v>
      </c>
      <c r="BO18" s="383">
        <f t="shared" si="55"/>
        <v>1.1547906733720854</v>
      </c>
      <c r="BP18" s="379">
        <v>56.122</v>
      </c>
      <c r="BQ18" s="380">
        <f t="shared" si="35"/>
        <v>0.70107904946653754</v>
      </c>
      <c r="BR18" s="381">
        <f t="shared" si="36"/>
        <v>0.11376245396863971</v>
      </c>
      <c r="BS18" s="382">
        <v>31.164000000000001</v>
      </c>
      <c r="BT18" s="380">
        <f t="shared" si="97"/>
        <v>-0.44470973949609771</v>
      </c>
      <c r="BU18" s="381">
        <f t="shared" si="38"/>
        <v>0.24013663787592332</v>
      </c>
      <c r="BV18" s="382">
        <v>54.83</v>
      </c>
      <c r="BW18" s="380">
        <f t="shared" si="98"/>
        <v>0.75940187395712999</v>
      </c>
      <c r="BX18" s="381">
        <f t="shared" si="40"/>
        <v>0.31496021579832978</v>
      </c>
      <c r="BY18" s="382">
        <v>40.246000000000002</v>
      </c>
      <c r="BZ18" s="380">
        <f t="shared" si="99"/>
        <v>-0.26598577421119818</v>
      </c>
      <c r="CA18" s="383">
        <f t="shared" si="42"/>
        <v>0.21987148399612044</v>
      </c>
      <c r="CB18" s="379">
        <v>70</v>
      </c>
      <c r="CC18" s="380">
        <f t="shared" si="43"/>
        <v>0.73930328479848928</v>
      </c>
      <c r="CD18" s="381">
        <f t="shared" si="44"/>
        <v>0.24728270553437159</v>
      </c>
      <c r="CE18" s="903"/>
      <c r="CF18" s="904"/>
      <c r="CG18" s="905"/>
      <c r="CH18" s="903"/>
      <c r="CI18" s="904"/>
      <c r="CJ18" s="905"/>
      <c r="CK18" s="382"/>
      <c r="CL18" s="380" t="e">
        <f t="shared" si="48"/>
        <v>#DIV/0!</v>
      </c>
      <c r="CM18" s="383">
        <f t="shared" si="49"/>
        <v>-1</v>
      </c>
      <c r="CO18" s="382"/>
    </row>
    <row r="19" spans="1:93" ht="16.2" customHeight="1" outlineLevel="1" x14ac:dyDescent="0.4">
      <c r="A19" s="156">
        <f t="shared" si="50"/>
        <v>18</v>
      </c>
      <c r="B19" s="112" t="s">
        <v>244</v>
      </c>
      <c r="C19" s="113" t="s">
        <v>180</v>
      </c>
      <c r="D19" s="756">
        <v>75.903999999999996</v>
      </c>
      <c r="E19" s="757">
        <v>10.311999999999999</v>
      </c>
      <c r="F19" s="757">
        <v>83.013000000000005</v>
      </c>
      <c r="G19" s="378">
        <v>18.724</v>
      </c>
      <c r="H19" s="379">
        <v>46.326000000000001</v>
      </c>
      <c r="I19" s="380">
        <f t="shared" si="79"/>
        <v>1.4741508224738302</v>
      </c>
      <c r="J19" s="381">
        <f t="shared" si="1"/>
        <v>-0.38967643338954461</v>
      </c>
      <c r="K19" s="382">
        <v>12.35</v>
      </c>
      <c r="L19" s="380">
        <f t="shared" si="80"/>
        <v>-0.7334110434745067</v>
      </c>
      <c r="M19" s="381">
        <f t="shared" si="3"/>
        <v>0.19763382467028712</v>
      </c>
      <c r="N19" s="382">
        <v>86.105000000000004</v>
      </c>
      <c r="O19" s="380">
        <f t="shared" si="4"/>
        <v>5.9720647773279358</v>
      </c>
      <c r="P19" s="381">
        <f t="shared" si="5"/>
        <v>3.7247178152819416E-2</v>
      </c>
      <c r="Q19" s="382">
        <v>30.925999999999998</v>
      </c>
      <c r="R19" s="380">
        <f t="shared" si="6"/>
        <v>-0.64083386562917366</v>
      </c>
      <c r="S19" s="383">
        <f t="shared" si="7"/>
        <v>0.65167699209570595</v>
      </c>
      <c r="T19" s="379">
        <v>52.064</v>
      </c>
      <c r="U19" s="380">
        <f t="shared" si="81"/>
        <v>0.6835025544848996</v>
      </c>
      <c r="V19" s="381">
        <f t="shared" si="9"/>
        <v>0.12386133057030602</v>
      </c>
      <c r="W19" s="382">
        <v>14.542999999999999</v>
      </c>
      <c r="X19" s="380">
        <f t="shared" si="82"/>
        <v>-0.72067071296865404</v>
      </c>
      <c r="Y19" s="381">
        <f t="shared" si="11"/>
        <v>0.17757085020242913</v>
      </c>
      <c r="Z19" s="382">
        <v>91.194000000000003</v>
      </c>
      <c r="AA19" s="380">
        <f t="shared" si="83"/>
        <v>5.2706456714570589</v>
      </c>
      <c r="AB19" s="381">
        <f t="shared" si="13"/>
        <v>5.9102258869984325E-2</v>
      </c>
      <c r="AC19" s="382">
        <v>36.561999999999998</v>
      </c>
      <c r="AD19" s="380">
        <f t="shared" si="84"/>
        <v>-0.5990745005153848</v>
      </c>
      <c r="AE19" s="383">
        <f t="shared" si="15"/>
        <v>0.18224147966112647</v>
      </c>
      <c r="AF19" s="379">
        <v>24.027999999999999</v>
      </c>
      <c r="AG19" s="380">
        <f t="shared" si="85"/>
        <v>-0.3428149444778732</v>
      </c>
      <c r="AH19" s="381">
        <f t="shared" si="17"/>
        <v>-0.53849108789182543</v>
      </c>
      <c r="AI19" s="382">
        <v>10.977</v>
      </c>
      <c r="AJ19" s="380">
        <f t="shared" si="86"/>
        <v>-0.54315798235392032</v>
      </c>
      <c r="AK19" s="381">
        <f t="shared" si="19"/>
        <v>-0.24520387815443845</v>
      </c>
      <c r="AL19" s="382">
        <v>98.590999999999994</v>
      </c>
      <c r="AM19" s="380">
        <f t="shared" si="87"/>
        <v>7.9815978864899328</v>
      </c>
      <c r="AN19" s="381">
        <f t="shared" si="21"/>
        <v>8.1112792508278853E-2</v>
      </c>
      <c r="AO19" s="382">
        <v>47.115000000000002</v>
      </c>
      <c r="AP19" s="380">
        <f t="shared" si="104"/>
        <v>-0.52211662322118646</v>
      </c>
      <c r="AQ19" s="383">
        <f t="shared" si="23"/>
        <v>0.2886330069471037</v>
      </c>
      <c r="AR19" s="379">
        <v>56.387999999999998</v>
      </c>
      <c r="AS19" s="380">
        <f t="shared" si="105"/>
        <v>0.19681630054122889</v>
      </c>
      <c r="AT19" s="381">
        <f t="shared" si="25"/>
        <v>1.3467621108706509</v>
      </c>
      <c r="AU19" s="382">
        <v>14.398233999999997</v>
      </c>
      <c r="AV19" s="380">
        <f t="shared" si="88"/>
        <v>-0.74465783500035476</v>
      </c>
      <c r="AW19" s="381">
        <f t="shared" si="27"/>
        <v>0.31167295253712268</v>
      </c>
      <c r="AX19" s="382">
        <v>173.238</v>
      </c>
      <c r="AY19" s="380">
        <f t="shared" si="89"/>
        <v>11.031892244562773</v>
      </c>
      <c r="AZ19" s="381">
        <f t="shared" si="29"/>
        <v>0.75713807548356349</v>
      </c>
      <c r="BA19" s="382">
        <v>130.98468099999999</v>
      </c>
      <c r="BB19" s="380">
        <f t="shared" si="90"/>
        <v>-0.24390329488911211</v>
      </c>
      <c r="BC19" s="383">
        <f t="shared" si="31"/>
        <v>1.7801057200466941</v>
      </c>
      <c r="BD19" s="379">
        <v>120.27807899999999</v>
      </c>
      <c r="BE19" s="380">
        <f t="shared" si="91"/>
        <v>10.663894394879751</v>
      </c>
      <c r="BF19" s="381">
        <f t="shared" ref="BF19" si="108">IFERROR(BD19/#REF!-1,)</f>
        <v>0</v>
      </c>
      <c r="BG19" s="382">
        <v>20.276854</v>
      </c>
      <c r="BH19" s="380">
        <f t="shared" si="93"/>
        <v>-0.83141687854858404</v>
      </c>
      <c r="BI19" s="381">
        <f t="shared" ref="BI19" si="109">IFERROR(BG19/#REF!-1,)</f>
        <v>0</v>
      </c>
      <c r="BJ19" s="382">
        <v>146.90983700000001</v>
      </c>
      <c r="BK19" s="380">
        <f t="shared" si="95"/>
        <v>6.2451987374372777</v>
      </c>
      <c r="BL19" s="381">
        <f t="shared" si="54"/>
        <v>0</v>
      </c>
      <c r="BM19" s="382">
        <v>130.55600000000001</v>
      </c>
      <c r="BN19" s="380">
        <f t="shared" si="96"/>
        <v>-0.11131886968195326</v>
      </c>
      <c r="BO19" s="383">
        <f t="shared" si="55"/>
        <v>11.660589604344455</v>
      </c>
      <c r="BP19" s="379">
        <v>153.55099999999999</v>
      </c>
      <c r="BQ19" s="380">
        <f t="shared" si="35"/>
        <v>0.1761313152976498</v>
      </c>
      <c r="BR19" s="381">
        <f t="shared" si="36"/>
        <v>0.27663329242230406</v>
      </c>
      <c r="BS19" s="382">
        <v>20.03</v>
      </c>
      <c r="BT19" s="380">
        <f t="shared" si="97"/>
        <v>-0.86955474077016759</v>
      </c>
      <c r="BU19" s="381">
        <f t="shared" si="38"/>
        <v>-1.2174176526595248E-2</v>
      </c>
      <c r="BV19" s="382">
        <v>196.536</v>
      </c>
      <c r="BW19" s="380">
        <f t="shared" si="98"/>
        <v>8.8120818771842231</v>
      </c>
      <c r="BX19" s="381">
        <f t="shared" si="40"/>
        <v>0.33780013655586583</v>
      </c>
      <c r="BY19" s="382">
        <v>165.5</v>
      </c>
      <c r="BZ19" s="380">
        <f t="shared" si="99"/>
        <v>-0.15791508934749865</v>
      </c>
      <c r="CA19" s="383">
        <f t="shared" si="42"/>
        <v>0.26765525904592646</v>
      </c>
      <c r="CB19" s="379">
        <v>133</v>
      </c>
      <c r="CC19" s="380">
        <f t="shared" si="43"/>
        <v>-0.1963746223564955</v>
      </c>
      <c r="CD19" s="381">
        <f t="shared" si="44"/>
        <v>-0.13383826871853644</v>
      </c>
      <c r="CE19" s="903"/>
      <c r="CF19" s="904"/>
      <c r="CG19" s="905"/>
      <c r="CH19" s="903"/>
      <c r="CI19" s="904"/>
      <c r="CJ19" s="905"/>
      <c r="CK19" s="382"/>
      <c r="CL19" s="380" t="e">
        <f t="shared" si="48"/>
        <v>#DIV/0!</v>
      </c>
      <c r="CM19" s="383">
        <f t="shared" si="49"/>
        <v>-1</v>
      </c>
      <c r="CO19" s="382"/>
    </row>
    <row r="20" spans="1:93" ht="16.2" customHeight="1" outlineLevel="1" x14ac:dyDescent="0.4">
      <c r="A20" s="156">
        <f t="shared" si="50"/>
        <v>19</v>
      </c>
      <c r="B20" s="112" t="s">
        <v>67</v>
      </c>
      <c r="C20" s="113" t="s">
        <v>297</v>
      </c>
      <c r="D20" s="756">
        <v>77.096999999999994</v>
      </c>
      <c r="E20" s="757">
        <v>46.302</v>
      </c>
      <c r="F20" s="757">
        <v>38.363999999999997</v>
      </c>
      <c r="G20" s="378">
        <v>34.512999999999998</v>
      </c>
      <c r="H20" s="379">
        <v>3.7589999999999999</v>
      </c>
      <c r="I20" s="380">
        <f t="shared" si="79"/>
        <v>-0.89108451887694495</v>
      </c>
      <c r="J20" s="381">
        <f t="shared" si="1"/>
        <v>-0.9512432390365384</v>
      </c>
      <c r="K20" s="382">
        <v>5.415</v>
      </c>
      <c r="L20" s="380">
        <f t="shared" si="80"/>
        <v>0.44054269752593789</v>
      </c>
      <c r="M20" s="381">
        <f t="shared" si="3"/>
        <v>-0.88305040818971103</v>
      </c>
      <c r="N20" s="382">
        <v>5.0490000000000004</v>
      </c>
      <c r="O20" s="380">
        <f t="shared" si="4"/>
        <v>-6.7590027700831001E-2</v>
      </c>
      <c r="P20" s="381">
        <f t="shared" si="5"/>
        <v>-0.86839224272755711</v>
      </c>
      <c r="Q20" s="382">
        <v>49.064999999999998</v>
      </c>
      <c r="R20" s="380">
        <f t="shared" si="6"/>
        <v>8.7177658942364822</v>
      </c>
      <c r="S20" s="383">
        <f t="shared" si="7"/>
        <v>0.42163822327818501</v>
      </c>
      <c r="T20" s="379">
        <v>5.165</v>
      </c>
      <c r="U20" s="380">
        <f t="shared" si="81"/>
        <v>-0.89473147865076941</v>
      </c>
      <c r="V20" s="381">
        <f t="shared" si="9"/>
        <v>0.3740356477786646</v>
      </c>
      <c r="W20" s="382">
        <v>2.8769999999999998</v>
      </c>
      <c r="X20" s="380">
        <f t="shared" si="82"/>
        <v>-0.44298160696999034</v>
      </c>
      <c r="Y20" s="381">
        <f t="shared" si="11"/>
        <v>-0.46869806094182831</v>
      </c>
      <c r="Z20" s="382">
        <v>1.752</v>
      </c>
      <c r="AA20" s="380">
        <f t="shared" si="83"/>
        <v>-0.39103232533889465</v>
      </c>
      <c r="AB20" s="381">
        <f t="shared" si="13"/>
        <v>-0.6530005941770648</v>
      </c>
      <c r="AC20" s="382">
        <v>1.7130000000000001</v>
      </c>
      <c r="AD20" s="380">
        <f t="shared" si="84"/>
        <v>-2.2260273972602662E-2</v>
      </c>
      <c r="AE20" s="383">
        <f t="shared" si="15"/>
        <v>-0.96508712931825125</v>
      </c>
      <c r="AF20" s="379">
        <v>1.29</v>
      </c>
      <c r="AG20" s="380">
        <f t="shared" si="85"/>
        <v>-0.24693520140105085</v>
      </c>
      <c r="AH20" s="381">
        <f t="shared" si="17"/>
        <v>-0.75024201355275899</v>
      </c>
      <c r="AI20" s="382">
        <v>1.3009999999999999</v>
      </c>
      <c r="AJ20" s="380">
        <f t="shared" si="86"/>
        <v>8.5271317829456184E-3</v>
      </c>
      <c r="AK20" s="381">
        <f t="shared" si="19"/>
        <v>-0.54779283976364268</v>
      </c>
      <c r="AL20" s="382">
        <v>1.3420000000000001</v>
      </c>
      <c r="AM20" s="380">
        <f t="shared" si="87"/>
        <v>3.1514219830899526E-2</v>
      </c>
      <c r="AN20" s="381">
        <f t="shared" si="21"/>
        <v>-0.23401826484018262</v>
      </c>
      <c r="AO20" s="382">
        <v>1.39</v>
      </c>
      <c r="AP20" s="380">
        <f t="shared" si="104"/>
        <v>3.5767511177347E-2</v>
      </c>
      <c r="AQ20" s="383">
        <f t="shared" si="23"/>
        <v>-0.1885580852305897</v>
      </c>
      <c r="AR20" s="379">
        <v>1.4219999999999999</v>
      </c>
      <c r="AS20" s="380">
        <f t="shared" si="105"/>
        <v>2.302158273381294E-2</v>
      </c>
      <c r="AT20" s="381">
        <f t="shared" si="25"/>
        <v>0.10232558139534875</v>
      </c>
      <c r="AU20" s="382">
        <v>1.4285999999999999</v>
      </c>
      <c r="AV20" s="380">
        <f t="shared" si="88"/>
        <v>4.6413502109703408E-3</v>
      </c>
      <c r="AW20" s="381">
        <f t="shared" si="27"/>
        <v>9.8078401229823253E-2</v>
      </c>
      <c r="AX20" s="382">
        <v>1.4658</v>
      </c>
      <c r="AY20" s="380">
        <f t="shared" si="89"/>
        <v>2.6039479210415939E-2</v>
      </c>
      <c r="AZ20" s="381">
        <f t="shared" si="29"/>
        <v>9.2250372578241313E-2</v>
      </c>
      <c r="BA20" s="382">
        <v>1.4307000000000001</v>
      </c>
      <c r="BB20" s="380">
        <f t="shared" si="90"/>
        <v>-2.3945968072042523E-2</v>
      </c>
      <c r="BC20" s="383">
        <f t="shared" si="31"/>
        <v>2.9280575539568421E-2</v>
      </c>
      <c r="BD20" s="379">
        <v>3.39635</v>
      </c>
      <c r="BE20" s="380">
        <f t="shared" si="91"/>
        <v>-0.92664787698155582</v>
      </c>
      <c r="BF20" s="381">
        <f t="shared" ref="BF20" si="110">IFERROR(BD20/#REF!-1,)</f>
        <v>0</v>
      </c>
      <c r="BG20" s="382">
        <v>5.4056499999999996</v>
      </c>
      <c r="BH20" s="380">
        <f t="shared" si="93"/>
        <v>0.59160569434834454</v>
      </c>
      <c r="BI20" s="381">
        <f t="shared" ref="BI20" si="111">IFERROR(BG20/#REF!-1,)</f>
        <v>0</v>
      </c>
      <c r="BJ20" s="382">
        <v>2.7124419999999998</v>
      </c>
      <c r="BK20" s="380">
        <f t="shared" si="95"/>
        <v>-0.49822093550266855</v>
      </c>
      <c r="BL20" s="381">
        <f t="shared" si="54"/>
        <v>0</v>
      </c>
      <c r="BM20" s="382">
        <v>1.0369999999999999</v>
      </c>
      <c r="BN20" s="380">
        <f t="shared" si="96"/>
        <v>-0.61768767774573607</v>
      </c>
      <c r="BO20" s="383">
        <f t="shared" si="55"/>
        <v>-0.97760355924150144</v>
      </c>
      <c r="BP20" s="379">
        <v>3.0880000000000001</v>
      </c>
      <c r="BQ20" s="380">
        <f t="shared" si="35"/>
        <v>1.9778206364513022</v>
      </c>
      <c r="BR20" s="381">
        <f t="shared" si="36"/>
        <v>-9.0788640746683913E-2</v>
      </c>
      <c r="BS20" s="382">
        <v>3.4990000000000001</v>
      </c>
      <c r="BT20" s="380">
        <f t="shared" si="97"/>
        <v>0.13309585492227982</v>
      </c>
      <c r="BU20" s="381">
        <f t="shared" si="38"/>
        <v>-0.35271428967839202</v>
      </c>
      <c r="BV20" s="382">
        <v>5.3369999999999997</v>
      </c>
      <c r="BW20" s="380">
        <f t="shared" si="98"/>
        <v>0.52529294084024003</v>
      </c>
      <c r="BX20" s="381">
        <f t="shared" si="40"/>
        <v>0.96759967586403706</v>
      </c>
      <c r="BY20" s="382">
        <v>21.763000000000002</v>
      </c>
      <c r="BZ20" s="380">
        <f t="shared" si="99"/>
        <v>3.0777590406595472</v>
      </c>
      <c r="CA20" s="383">
        <f t="shared" si="42"/>
        <v>19.986499517839928</v>
      </c>
      <c r="CB20" s="379">
        <v>61</v>
      </c>
      <c r="CC20" s="380">
        <f t="shared" si="43"/>
        <v>1.8029223912144463</v>
      </c>
      <c r="CD20" s="381">
        <f t="shared" si="44"/>
        <v>18.753886010362695</v>
      </c>
      <c r="CE20" s="903"/>
      <c r="CF20" s="904"/>
      <c r="CG20" s="905"/>
      <c r="CH20" s="903"/>
      <c r="CI20" s="904"/>
      <c r="CJ20" s="905"/>
      <c r="CK20" s="382"/>
      <c r="CL20" s="380" t="e">
        <f t="shared" si="48"/>
        <v>#DIV/0!</v>
      </c>
      <c r="CM20" s="383">
        <f t="shared" si="49"/>
        <v>-1</v>
      </c>
      <c r="CO20" s="382"/>
    </row>
    <row r="21" spans="1:93" ht="16.2" customHeight="1" outlineLevel="1" x14ac:dyDescent="0.4">
      <c r="A21" s="156">
        <f t="shared" si="50"/>
        <v>20</v>
      </c>
      <c r="B21" s="112" t="s">
        <v>165</v>
      </c>
      <c r="C21" s="113" t="s">
        <v>66</v>
      </c>
      <c r="D21" s="756">
        <v>0</v>
      </c>
      <c r="E21" s="757">
        <v>5.9420000000000002</v>
      </c>
      <c r="F21" s="757">
        <v>3.5550000000000002</v>
      </c>
      <c r="G21" s="378">
        <v>4.1150000000000002</v>
      </c>
      <c r="H21" s="379">
        <v>2.6709999999999998</v>
      </c>
      <c r="I21" s="380">
        <f t="shared" si="79"/>
        <v>-0.35091130012150673</v>
      </c>
      <c r="J21" s="381">
        <f t="shared" si="1"/>
        <v>0</v>
      </c>
      <c r="K21" s="382">
        <v>3.1E-2</v>
      </c>
      <c r="L21" s="380">
        <f t="shared" si="80"/>
        <v>-0.98839385997753648</v>
      </c>
      <c r="M21" s="381">
        <f t="shared" si="3"/>
        <v>-0.99478290138000669</v>
      </c>
      <c r="N21" s="382">
        <v>4.49</v>
      </c>
      <c r="O21" s="380">
        <f t="shared" si="4"/>
        <v>143.83870967741936</v>
      </c>
      <c r="P21" s="381">
        <f t="shared" si="5"/>
        <v>0.26300984528832627</v>
      </c>
      <c r="Q21" s="382">
        <v>2.0379999999999998</v>
      </c>
      <c r="R21" s="380">
        <f t="shared" si="6"/>
        <v>-0.54610244988864154</v>
      </c>
      <c r="S21" s="383">
        <f t="shared" si="7"/>
        <v>-0.50473876063183476</v>
      </c>
      <c r="T21" s="379">
        <v>0.155</v>
      </c>
      <c r="U21" s="380">
        <f t="shared" si="81"/>
        <v>-0.92394504416094214</v>
      </c>
      <c r="V21" s="381">
        <f t="shared" si="9"/>
        <v>-0.94196929988768252</v>
      </c>
      <c r="W21" s="382">
        <v>3.6629999999999998</v>
      </c>
      <c r="X21" s="380">
        <f t="shared" si="82"/>
        <v>22.63225806451613</v>
      </c>
      <c r="Y21" s="381">
        <f t="shared" si="11"/>
        <v>117.16129032258064</v>
      </c>
      <c r="Z21" s="382">
        <v>3.2269999999999999</v>
      </c>
      <c r="AA21" s="380">
        <f t="shared" si="83"/>
        <v>-0.11902811902811905</v>
      </c>
      <c r="AB21" s="381">
        <f t="shared" si="13"/>
        <v>-0.28129175946547891</v>
      </c>
      <c r="AC21" s="382">
        <v>1.6679999999999999</v>
      </c>
      <c r="AD21" s="380">
        <f t="shared" si="84"/>
        <v>-0.48311124883793</v>
      </c>
      <c r="AE21" s="383">
        <f t="shared" si="15"/>
        <v>-0.18155053974484781</v>
      </c>
      <c r="AF21" s="379">
        <v>35.46</v>
      </c>
      <c r="AG21" s="380">
        <f t="shared" si="85"/>
        <v>20.258992805755398</v>
      </c>
      <c r="AH21" s="381">
        <f t="shared" si="17"/>
        <v>227.7741935483871</v>
      </c>
      <c r="AI21" s="382">
        <v>1.036</v>
      </c>
      <c r="AJ21" s="380">
        <f t="shared" si="86"/>
        <v>-0.97078398195149462</v>
      </c>
      <c r="AK21" s="381">
        <f t="shared" si="19"/>
        <v>-0.71717171717171713</v>
      </c>
      <c r="AL21" s="382">
        <v>1.091</v>
      </c>
      <c r="AM21" s="380">
        <f t="shared" si="87"/>
        <v>5.3088803088803038E-2</v>
      </c>
      <c r="AN21" s="381">
        <f t="shared" si="21"/>
        <v>-0.66191509141617599</v>
      </c>
      <c r="AO21" s="382">
        <v>2.2240000000000002</v>
      </c>
      <c r="AP21" s="380">
        <f t="shared" si="104"/>
        <v>1.0384967919340058</v>
      </c>
      <c r="AQ21" s="383">
        <f t="shared" si="23"/>
        <v>0.33333333333333348</v>
      </c>
      <c r="AR21" s="379">
        <v>4.8040000000000003</v>
      </c>
      <c r="AS21" s="380">
        <f t="shared" si="105"/>
        <v>1.1600719424460433</v>
      </c>
      <c r="AT21" s="381">
        <f t="shared" si="25"/>
        <v>-0.86452340665538641</v>
      </c>
      <c r="AU21" s="382">
        <v>4.5720740000000006</v>
      </c>
      <c r="AV21" s="380">
        <f t="shared" si="88"/>
        <v>-4.8277685262281378E-2</v>
      </c>
      <c r="AW21" s="381">
        <f t="shared" si="27"/>
        <v>3.4131988416988426</v>
      </c>
      <c r="AX21" s="382">
        <v>0.40500000000000003</v>
      </c>
      <c r="AY21" s="380">
        <f t="shared" si="89"/>
        <v>-0.9114187565643076</v>
      </c>
      <c r="AZ21" s="381">
        <f t="shared" si="29"/>
        <v>-0.62878093492208986</v>
      </c>
      <c r="BA21" s="382">
        <v>59.746849000000005</v>
      </c>
      <c r="BB21" s="380">
        <f t="shared" si="90"/>
        <v>146.52308395061729</v>
      </c>
      <c r="BC21" s="383">
        <f t="shared" si="31"/>
        <v>25.864590377697841</v>
      </c>
      <c r="BD21" s="379">
        <v>18.807259999999999</v>
      </c>
      <c r="BE21" s="380">
        <f t="shared" si="91"/>
        <v>2.1651396836082126</v>
      </c>
      <c r="BF21" s="381">
        <f t="shared" ref="BF21" si="112">IFERROR(BD21/#REF!-1,)</f>
        <v>0</v>
      </c>
      <c r="BG21" s="382">
        <v>17.956078000000002</v>
      </c>
      <c r="BH21" s="380">
        <f t="shared" si="93"/>
        <v>-4.5258160944230963E-2</v>
      </c>
      <c r="BI21" s="381">
        <f t="shared" ref="BI21" si="113">IFERROR(BG21/#REF!-1,)</f>
        <v>0</v>
      </c>
      <c r="BJ21" s="382">
        <v>11.445129000000001</v>
      </c>
      <c r="BK21" s="380">
        <f t="shared" si="95"/>
        <v>-0.36260418338570366</v>
      </c>
      <c r="BL21" s="381">
        <f t="shared" si="54"/>
        <v>0</v>
      </c>
      <c r="BM21" s="382">
        <v>4.6790000000000003</v>
      </c>
      <c r="BN21" s="380">
        <f t="shared" si="96"/>
        <v>-0.59117979360477291</v>
      </c>
      <c r="BO21" s="383">
        <f t="shared" si="55"/>
        <v>-0.21255469538875793</v>
      </c>
      <c r="BP21" s="379">
        <v>4.37</v>
      </c>
      <c r="BQ21" s="380">
        <f t="shared" si="35"/>
        <v>-6.6039752083778658E-2</v>
      </c>
      <c r="BR21" s="381">
        <f t="shared" si="36"/>
        <v>-0.76764292087204622</v>
      </c>
      <c r="BS21" s="382">
        <v>2.863</v>
      </c>
      <c r="BT21" s="380">
        <f t="shared" si="97"/>
        <v>-0.34485125858123566</v>
      </c>
      <c r="BU21" s="381">
        <f t="shared" si="38"/>
        <v>-0.84055538186011447</v>
      </c>
      <c r="BV21" s="382">
        <v>23.274000000000001</v>
      </c>
      <c r="BW21" s="380">
        <f t="shared" si="98"/>
        <v>7.1292350681103738</v>
      </c>
      <c r="BX21" s="381">
        <f t="shared" si="40"/>
        <v>1.0335288488229359</v>
      </c>
      <c r="BY21" s="382">
        <v>59.780999999999999</v>
      </c>
      <c r="BZ21" s="380">
        <f t="shared" si="99"/>
        <v>1.5685743748388759</v>
      </c>
      <c r="CA21" s="383">
        <f t="shared" si="42"/>
        <v>11.776447958965591</v>
      </c>
      <c r="CB21" s="379">
        <v>0</v>
      </c>
      <c r="CC21" s="380">
        <f t="shared" si="43"/>
        <v>-1</v>
      </c>
      <c r="CD21" s="381">
        <f t="shared" si="44"/>
        <v>-1</v>
      </c>
      <c r="CE21" s="903"/>
      <c r="CF21" s="904"/>
      <c r="CG21" s="905"/>
      <c r="CH21" s="903"/>
      <c r="CI21" s="904"/>
      <c r="CJ21" s="905"/>
      <c r="CK21" s="382"/>
      <c r="CL21" s="380" t="e">
        <f t="shared" si="48"/>
        <v>#DIV/0!</v>
      </c>
      <c r="CM21" s="383">
        <f t="shared" si="49"/>
        <v>-1</v>
      </c>
      <c r="CO21" s="382"/>
    </row>
    <row r="22" spans="1:93" ht="16.2" customHeight="1" outlineLevel="1" x14ac:dyDescent="0.4">
      <c r="A22" s="156">
        <f t="shared" si="50"/>
        <v>21</v>
      </c>
      <c r="B22" s="112" t="s">
        <v>166</v>
      </c>
      <c r="C22" s="113" t="s">
        <v>298</v>
      </c>
      <c r="D22" s="756">
        <v>2.9729999999999999</v>
      </c>
      <c r="E22" s="757">
        <v>13.494999999999999</v>
      </c>
      <c r="F22" s="757">
        <v>3.927</v>
      </c>
      <c r="G22" s="378">
        <v>18.056000000000001</v>
      </c>
      <c r="H22" s="379">
        <v>4.6740000000000004</v>
      </c>
      <c r="I22" s="380">
        <f t="shared" si="79"/>
        <v>-0.74113867966326974</v>
      </c>
      <c r="J22" s="381">
        <f t="shared" si="1"/>
        <v>0.57214934409687213</v>
      </c>
      <c r="K22" s="382">
        <v>15.712</v>
      </c>
      <c r="L22" s="380">
        <f t="shared" si="80"/>
        <v>2.3615746683782626</v>
      </c>
      <c r="M22" s="381">
        <f t="shared" si="3"/>
        <v>0.16428306780288993</v>
      </c>
      <c r="N22" s="382">
        <v>10.47</v>
      </c>
      <c r="O22" s="380">
        <f t="shared" si="4"/>
        <v>-0.33363034623217913</v>
      </c>
      <c r="P22" s="381">
        <f t="shared" si="5"/>
        <v>1.6661573720397249</v>
      </c>
      <c r="Q22" s="382">
        <v>10.291</v>
      </c>
      <c r="R22" s="380">
        <f t="shared" si="6"/>
        <v>-1.7096466093600826E-2</v>
      </c>
      <c r="S22" s="383">
        <f t="shared" si="7"/>
        <v>-0.43005095259193615</v>
      </c>
      <c r="T22" s="379">
        <v>15.972</v>
      </c>
      <c r="U22" s="380">
        <f t="shared" si="81"/>
        <v>0.55203575940141869</v>
      </c>
      <c r="V22" s="381">
        <f t="shared" si="9"/>
        <v>2.4172015404364564</v>
      </c>
      <c r="W22" s="382">
        <v>1.6160000000000001</v>
      </c>
      <c r="X22" s="380">
        <f t="shared" si="82"/>
        <v>-0.89882294014525421</v>
      </c>
      <c r="Y22" s="381">
        <f t="shared" si="11"/>
        <v>-0.89714867617107941</v>
      </c>
      <c r="Z22" s="382">
        <v>6.3250000000000002</v>
      </c>
      <c r="AA22" s="380">
        <f t="shared" si="83"/>
        <v>2.9139851485148514</v>
      </c>
      <c r="AB22" s="381">
        <f t="shared" si="13"/>
        <v>-0.39589302769818535</v>
      </c>
      <c r="AC22" s="382">
        <v>3.6269999999999998</v>
      </c>
      <c r="AD22" s="380">
        <f t="shared" si="84"/>
        <v>-0.42656126482213441</v>
      </c>
      <c r="AE22" s="383">
        <f t="shared" si="15"/>
        <v>-0.64755611699543292</v>
      </c>
      <c r="AF22" s="379">
        <v>4.2809999999999997</v>
      </c>
      <c r="AG22" s="380">
        <f t="shared" si="85"/>
        <v>0.18031430934656734</v>
      </c>
      <c r="AH22" s="381">
        <f t="shared" si="17"/>
        <v>-0.73196844477836209</v>
      </c>
      <c r="AI22" s="382">
        <v>4.5449999999999999</v>
      </c>
      <c r="AJ22" s="380">
        <f t="shared" si="86"/>
        <v>6.1667834618079898E-2</v>
      </c>
      <c r="AK22" s="381">
        <f t="shared" si="19"/>
        <v>1.8124999999999996</v>
      </c>
      <c r="AL22" s="382">
        <v>12.340999999999999</v>
      </c>
      <c r="AM22" s="380">
        <f t="shared" si="87"/>
        <v>1.7152915291529154</v>
      </c>
      <c r="AN22" s="381">
        <f t="shared" si="21"/>
        <v>0.95114624505928846</v>
      </c>
      <c r="AO22" s="382">
        <v>12.584</v>
      </c>
      <c r="AP22" s="380">
        <f t="shared" si="104"/>
        <v>1.969046268535779E-2</v>
      </c>
      <c r="AQ22" s="383">
        <f t="shared" si="23"/>
        <v>2.4695340501792118</v>
      </c>
      <c r="AR22" s="379">
        <v>9.6389999999999993</v>
      </c>
      <c r="AS22" s="380">
        <f t="shared" si="105"/>
        <v>-0.23402733630006356</v>
      </c>
      <c r="AT22" s="381">
        <f t="shared" si="25"/>
        <v>1.2515767344078488</v>
      </c>
      <c r="AU22" s="382">
        <v>16.886823</v>
      </c>
      <c r="AV22" s="380">
        <f t="shared" si="88"/>
        <v>0.75192685963274197</v>
      </c>
      <c r="AW22" s="381">
        <f t="shared" si="27"/>
        <v>2.7154726072607263</v>
      </c>
      <c r="AX22" s="382">
        <v>20.170973</v>
      </c>
      <c r="AY22" s="380">
        <f t="shared" si="89"/>
        <v>0.19448003925901292</v>
      </c>
      <c r="AZ22" s="381">
        <f t="shared" si="29"/>
        <v>0.63446827647678483</v>
      </c>
      <c r="BA22" s="382">
        <v>44.28228</v>
      </c>
      <c r="BB22" s="380">
        <f t="shared" si="90"/>
        <v>1.1953467490140413</v>
      </c>
      <c r="BC22" s="383">
        <f t="shared" si="31"/>
        <v>2.5189351557533377</v>
      </c>
      <c r="BD22" s="379">
        <v>19.556207999999998</v>
      </c>
      <c r="BE22" s="380">
        <f t="shared" si="91"/>
        <v>0.44914472026676533</v>
      </c>
      <c r="BF22" s="381">
        <f t="shared" ref="BF22" si="114">IFERROR(BD22/#REF!-1,)</f>
        <v>0</v>
      </c>
      <c r="BG22" s="382">
        <v>13.572042</v>
      </c>
      <c r="BH22" s="380">
        <f t="shared" si="93"/>
        <v>-0.30599827942104108</v>
      </c>
      <c r="BI22" s="381">
        <f t="shared" ref="BI22" si="115">IFERROR(BG22/#REF!-1,)</f>
        <v>0</v>
      </c>
      <c r="BJ22" s="382">
        <v>15.336373999999999</v>
      </c>
      <c r="BK22" s="380">
        <f t="shared" si="95"/>
        <v>0.12999753463775021</v>
      </c>
      <c r="BL22" s="381">
        <f t="shared" si="54"/>
        <v>0</v>
      </c>
      <c r="BM22" s="382">
        <v>19.056000000000001</v>
      </c>
      <c r="BN22" s="380">
        <f t="shared" si="96"/>
        <v>0.24253620836320255</v>
      </c>
      <c r="BO22" s="383">
        <f t="shared" si="55"/>
        <v>0.41207854761022622</v>
      </c>
      <c r="BP22" s="379">
        <v>17.312000000000001</v>
      </c>
      <c r="BQ22" s="380">
        <f t="shared" si="35"/>
        <v>-9.1519731318219999E-2</v>
      </c>
      <c r="BR22" s="381">
        <f t="shared" si="36"/>
        <v>-0.11475680765923524</v>
      </c>
      <c r="BS22" s="382">
        <v>16.167999999999999</v>
      </c>
      <c r="BT22" s="380">
        <f t="shared" si="97"/>
        <v>-6.6081330868761667E-2</v>
      </c>
      <c r="BU22" s="381">
        <f t="shared" si="38"/>
        <v>0.19127247027381733</v>
      </c>
      <c r="BV22" s="382">
        <v>16.893000000000001</v>
      </c>
      <c r="BW22" s="380">
        <f t="shared" si="98"/>
        <v>4.4841662543295469E-2</v>
      </c>
      <c r="BX22" s="381">
        <f t="shared" si="40"/>
        <v>0.10149895927159847</v>
      </c>
      <c r="BY22" s="382">
        <v>22.998999999999999</v>
      </c>
      <c r="BZ22" s="380">
        <f t="shared" si="99"/>
        <v>0.36145148878233568</v>
      </c>
      <c r="CA22" s="383">
        <f t="shared" si="42"/>
        <v>0.20691645675902581</v>
      </c>
      <c r="CB22" s="379">
        <v>22</v>
      </c>
      <c r="CC22" s="380">
        <f t="shared" si="43"/>
        <v>-4.3436671159615581E-2</v>
      </c>
      <c r="CD22" s="381">
        <f t="shared" si="44"/>
        <v>0.27079482439926061</v>
      </c>
      <c r="CE22" s="903"/>
      <c r="CF22" s="904"/>
      <c r="CG22" s="905"/>
      <c r="CH22" s="903"/>
      <c r="CI22" s="904"/>
      <c r="CJ22" s="905"/>
      <c r="CK22" s="382"/>
      <c r="CL22" s="380" t="e">
        <f t="shared" si="48"/>
        <v>#DIV/0!</v>
      </c>
      <c r="CM22" s="383">
        <f t="shared" si="49"/>
        <v>-1</v>
      </c>
      <c r="CO22" s="382"/>
    </row>
    <row r="23" spans="1:93" ht="16.2" customHeight="1" outlineLevel="1" x14ac:dyDescent="0.4">
      <c r="A23" s="156">
        <f t="shared" si="50"/>
        <v>22</v>
      </c>
      <c r="B23" s="112" t="s">
        <v>167</v>
      </c>
      <c r="C23" s="113" t="s">
        <v>184</v>
      </c>
      <c r="D23" s="756">
        <v>11.45</v>
      </c>
      <c r="E23" s="757">
        <v>11.039</v>
      </c>
      <c r="F23" s="757">
        <v>12.223000000000001</v>
      </c>
      <c r="G23" s="378">
        <v>23.405000000000001</v>
      </c>
      <c r="H23" s="379">
        <v>23.681000000000001</v>
      </c>
      <c r="I23" s="380">
        <f t="shared" si="79"/>
        <v>1.1792352061525291E-2</v>
      </c>
      <c r="J23" s="381">
        <f t="shared" si="1"/>
        <v>1.0682096069868998</v>
      </c>
      <c r="K23" s="382">
        <v>27.725999999999999</v>
      </c>
      <c r="L23" s="380">
        <f t="shared" si="80"/>
        <v>0.17081204341032885</v>
      </c>
      <c r="M23" s="381">
        <f t="shared" si="3"/>
        <v>1.5116405471510101</v>
      </c>
      <c r="N23" s="382">
        <v>31.556000000000001</v>
      </c>
      <c r="O23" s="380">
        <f t="shared" si="4"/>
        <v>0.13813748827815053</v>
      </c>
      <c r="P23" s="381">
        <f t="shared" si="5"/>
        <v>1.5816902560746136</v>
      </c>
      <c r="Q23" s="382">
        <v>36.317</v>
      </c>
      <c r="R23" s="380">
        <f t="shared" si="6"/>
        <v>0.1508746355685131</v>
      </c>
      <c r="S23" s="383">
        <f t="shared" si="7"/>
        <v>0.55167699209570609</v>
      </c>
      <c r="T23" s="379">
        <v>32.064</v>
      </c>
      <c r="U23" s="380">
        <f t="shared" si="81"/>
        <v>-0.11710769061321147</v>
      </c>
      <c r="V23" s="381">
        <f t="shared" si="9"/>
        <v>0.35399687513196221</v>
      </c>
      <c r="W23" s="382">
        <v>31.19</v>
      </c>
      <c r="X23" s="380">
        <f t="shared" si="82"/>
        <v>-2.7257984031936133E-2</v>
      </c>
      <c r="Y23" s="381">
        <f t="shared" si="11"/>
        <v>0.12493688234869804</v>
      </c>
      <c r="Z23" s="382">
        <v>32.534999999999997</v>
      </c>
      <c r="AA23" s="380">
        <f t="shared" si="83"/>
        <v>4.3122795767874145E-2</v>
      </c>
      <c r="AB23" s="381">
        <f t="shared" si="13"/>
        <v>3.1024210926606566E-2</v>
      </c>
      <c r="AC23" s="382">
        <v>28.44</v>
      </c>
      <c r="AD23" s="380">
        <f t="shared" si="84"/>
        <v>-0.12586445366528343</v>
      </c>
      <c r="AE23" s="383">
        <f t="shared" si="15"/>
        <v>-0.21689566869510146</v>
      </c>
      <c r="AF23" s="379">
        <v>34.915999999999997</v>
      </c>
      <c r="AG23" s="380">
        <f t="shared" si="85"/>
        <v>0.2277074542897326</v>
      </c>
      <c r="AH23" s="381">
        <f t="shared" si="17"/>
        <v>8.894710578842302E-2</v>
      </c>
      <c r="AI23" s="382">
        <v>42.008000000000003</v>
      </c>
      <c r="AJ23" s="380">
        <f t="shared" si="86"/>
        <v>0.2031160499484479</v>
      </c>
      <c r="AK23" s="381">
        <f t="shared" si="19"/>
        <v>0.34684193651811479</v>
      </c>
      <c r="AL23" s="382">
        <v>44.383000000000003</v>
      </c>
      <c r="AM23" s="380">
        <f t="shared" si="87"/>
        <v>5.6536850123785953E-2</v>
      </c>
      <c r="AN23" s="381">
        <f t="shared" si="21"/>
        <v>0.36416167204548966</v>
      </c>
      <c r="AO23" s="382">
        <v>41.268999999999998</v>
      </c>
      <c r="AP23" s="380">
        <f t="shared" si="104"/>
        <v>-7.0161998963567229E-2</v>
      </c>
      <c r="AQ23" s="383">
        <f t="shared" si="23"/>
        <v>0.4510900140646974</v>
      </c>
      <c r="AR23" s="379">
        <v>44.570999999999998</v>
      </c>
      <c r="AS23" s="380">
        <f t="shared" si="105"/>
        <v>8.0011631006324357E-2</v>
      </c>
      <c r="AT23" s="381">
        <f t="shared" si="25"/>
        <v>0.27652079275976638</v>
      </c>
      <c r="AU23" s="382">
        <v>53.847982000000002</v>
      </c>
      <c r="AV23" s="380">
        <f t="shared" si="88"/>
        <v>0.20813941800722446</v>
      </c>
      <c r="AW23" s="381">
        <f t="shared" si="27"/>
        <v>0.28185064749571498</v>
      </c>
      <c r="AX23" s="382">
        <v>44.451177000000001</v>
      </c>
      <c r="AY23" s="380">
        <f t="shared" si="89"/>
        <v>-0.17450616812344055</v>
      </c>
      <c r="AZ23" s="381">
        <f t="shared" si="29"/>
        <v>1.5361061667755749E-3</v>
      </c>
      <c r="BA23" s="382">
        <v>51.430019000000001</v>
      </c>
      <c r="BB23" s="380">
        <f t="shared" si="90"/>
        <v>0.15700016222292601</v>
      </c>
      <c r="BC23" s="383">
        <f t="shared" si="31"/>
        <v>0.24621432552278955</v>
      </c>
      <c r="BD23" s="379">
        <v>44.444368000000004</v>
      </c>
      <c r="BE23" s="380">
        <f t="shared" si="91"/>
        <v>3.0261226560376855</v>
      </c>
      <c r="BF23" s="381">
        <f t="shared" ref="BF23" si="116">IFERROR(BD23/#REF!-1,)</f>
        <v>0</v>
      </c>
      <c r="BG23" s="382">
        <v>50.819050000000004</v>
      </c>
      <c r="BH23" s="380">
        <f t="shared" si="93"/>
        <v>0.14343059170061778</v>
      </c>
      <c r="BI23" s="381">
        <f t="shared" ref="BI23" si="117">IFERROR(BG23/#REF!-1,)</f>
        <v>0</v>
      </c>
      <c r="BJ23" s="382">
        <v>53.849182999999996</v>
      </c>
      <c r="BK23" s="380">
        <f t="shared" si="95"/>
        <v>5.9625927678695234E-2</v>
      </c>
      <c r="BL23" s="381">
        <f t="shared" si="54"/>
        <v>0</v>
      </c>
      <c r="BM23" s="382">
        <v>56.368000000000002</v>
      </c>
      <c r="BN23" s="380">
        <f t="shared" si="96"/>
        <v>4.6775398616540009E-2</v>
      </c>
      <c r="BO23" s="383">
        <f t="shared" si="55"/>
        <v>4.1062596249660297</v>
      </c>
      <c r="BP23" s="379">
        <v>55.029000000000003</v>
      </c>
      <c r="BQ23" s="380">
        <f t="shared" si="35"/>
        <v>-2.3754612546125431E-2</v>
      </c>
      <c r="BR23" s="381">
        <f t="shared" si="36"/>
        <v>0.2381546296259629</v>
      </c>
      <c r="BS23" s="382">
        <v>64.144000000000005</v>
      </c>
      <c r="BT23" s="380">
        <f t="shared" si="97"/>
        <v>0.16563993530683829</v>
      </c>
      <c r="BU23" s="381">
        <f t="shared" si="38"/>
        <v>0.26220383891473764</v>
      </c>
      <c r="BV23" s="382">
        <v>58.103000000000002</v>
      </c>
      <c r="BW23" s="380">
        <f t="shared" si="98"/>
        <v>-9.4178722873534571E-2</v>
      </c>
      <c r="BX23" s="381">
        <f t="shared" si="40"/>
        <v>7.8995014650454554E-2</v>
      </c>
      <c r="BY23" s="382">
        <v>78.84</v>
      </c>
      <c r="BZ23" s="380">
        <f t="shared" si="99"/>
        <v>0.35690067638504042</v>
      </c>
      <c r="CA23" s="383">
        <f t="shared" si="42"/>
        <v>0.39866590973602034</v>
      </c>
      <c r="CB23" s="379">
        <v>81</v>
      </c>
      <c r="CC23" s="380">
        <f t="shared" si="43"/>
        <v>2.739726027397249E-2</v>
      </c>
      <c r="CD23" s="381">
        <f t="shared" si="44"/>
        <v>0.47195115302840307</v>
      </c>
      <c r="CE23" s="903"/>
      <c r="CF23" s="904"/>
      <c r="CG23" s="905"/>
      <c r="CH23" s="903"/>
      <c r="CI23" s="904"/>
      <c r="CJ23" s="905"/>
      <c r="CK23" s="382"/>
      <c r="CL23" s="380" t="e">
        <f t="shared" si="48"/>
        <v>#DIV/0!</v>
      </c>
      <c r="CM23" s="383">
        <f t="shared" si="49"/>
        <v>-1</v>
      </c>
      <c r="CO23" s="382"/>
    </row>
    <row r="24" spans="1:93" ht="16.2" customHeight="1" outlineLevel="1" x14ac:dyDescent="0.4">
      <c r="A24" s="156">
        <f t="shared" si="50"/>
        <v>23</v>
      </c>
      <c r="B24" s="112" t="s">
        <v>168</v>
      </c>
      <c r="C24" s="113" t="s">
        <v>299</v>
      </c>
      <c r="D24" s="756">
        <v>66.174000000000007</v>
      </c>
      <c r="E24" s="757">
        <v>119.179</v>
      </c>
      <c r="F24" s="757">
        <v>44.978000000000002</v>
      </c>
      <c r="G24" s="378">
        <v>95.731999999999999</v>
      </c>
      <c r="H24" s="379">
        <v>71.778000000000006</v>
      </c>
      <c r="I24" s="380">
        <f t="shared" si="79"/>
        <v>-0.25021936238666265</v>
      </c>
      <c r="J24" s="381">
        <f t="shared" si="1"/>
        <v>8.4685828270922192E-2</v>
      </c>
      <c r="K24" s="382">
        <v>96.736000000000004</v>
      </c>
      <c r="L24" s="380">
        <f t="shared" si="80"/>
        <v>0.34771099779876846</v>
      </c>
      <c r="M24" s="381">
        <f t="shared" si="3"/>
        <v>-0.18831337735674902</v>
      </c>
      <c r="N24" s="382">
        <v>75.55</v>
      </c>
      <c r="O24" s="380">
        <f t="shared" si="4"/>
        <v>-0.21900843532914327</v>
      </c>
      <c r="P24" s="381">
        <f t="shared" si="5"/>
        <v>0.67971008048379189</v>
      </c>
      <c r="Q24" s="382">
        <v>62.411000000000001</v>
      </c>
      <c r="R24" s="380">
        <f t="shared" si="6"/>
        <v>-0.17391131700860352</v>
      </c>
      <c r="S24" s="383">
        <f t="shared" si="7"/>
        <v>-0.34806543266619305</v>
      </c>
      <c r="T24" s="379">
        <v>51.901000000000003</v>
      </c>
      <c r="U24" s="380">
        <f t="shared" si="81"/>
        <v>-0.16839980131707544</v>
      </c>
      <c r="V24" s="381">
        <f t="shared" si="9"/>
        <v>-0.27692329125916015</v>
      </c>
      <c r="W24" s="382">
        <v>58.579000000000001</v>
      </c>
      <c r="X24" s="380">
        <f t="shared" si="82"/>
        <v>0.12866804107820662</v>
      </c>
      <c r="Y24" s="381">
        <f t="shared" si="11"/>
        <v>-0.39444467416473705</v>
      </c>
      <c r="Z24" s="382">
        <v>32.140999999999998</v>
      </c>
      <c r="AA24" s="380">
        <f t="shared" si="83"/>
        <v>-0.45132214616159383</v>
      </c>
      <c r="AB24" s="381">
        <f t="shared" si="13"/>
        <v>-0.57457313037723368</v>
      </c>
      <c r="AC24" s="382">
        <v>36.832999999999998</v>
      </c>
      <c r="AD24" s="380">
        <f t="shared" si="84"/>
        <v>0.1459817678354749</v>
      </c>
      <c r="AE24" s="383">
        <f t="shared" si="15"/>
        <v>-0.40983160019868292</v>
      </c>
      <c r="AF24" s="379">
        <v>28.547000000000001</v>
      </c>
      <c r="AG24" s="380">
        <f t="shared" si="85"/>
        <v>-0.22496131186707569</v>
      </c>
      <c r="AH24" s="381">
        <f t="shared" si="17"/>
        <v>-0.44997206219533348</v>
      </c>
      <c r="AI24" s="382">
        <v>25.672000000000001</v>
      </c>
      <c r="AJ24" s="380">
        <f t="shared" si="86"/>
        <v>-0.10071110799733773</v>
      </c>
      <c r="AK24" s="381">
        <f t="shared" si="19"/>
        <v>-0.56175421226036626</v>
      </c>
      <c r="AL24" s="382">
        <v>24.802</v>
      </c>
      <c r="AM24" s="380">
        <f t="shared" si="87"/>
        <v>-3.3889062013088278E-2</v>
      </c>
      <c r="AN24" s="381">
        <f t="shared" si="21"/>
        <v>-0.22833763728570977</v>
      </c>
      <c r="AO24" s="382">
        <v>42.581000000000003</v>
      </c>
      <c r="AP24" s="380">
        <f t="shared" si="104"/>
        <v>0.71683735182646569</v>
      </c>
      <c r="AQ24" s="383">
        <f t="shared" si="23"/>
        <v>0.15605571091141113</v>
      </c>
      <c r="AR24" s="379">
        <v>73.370999999999995</v>
      </c>
      <c r="AS24" s="380">
        <f t="shared" si="105"/>
        <v>0.72309245907799236</v>
      </c>
      <c r="AT24" s="381">
        <f t="shared" si="25"/>
        <v>1.5701825060426664</v>
      </c>
      <c r="AU24" s="382">
        <v>91.08530300000001</v>
      </c>
      <c r="AV24" s="380">
        <f t="shared" si="88"/>
        <v>0.24143466764798105</v>
      </c>
      <c r="AW24" s="381">
        <f t="shared" si="27"/>
        <v>2.5480407837332506</v>
      </c>
      <c r="AX24" s="382">
        <v>80.111604999999997</v>
      </c>
      <c r="AY24" s="380">
        <f t="shared" si="89"/>
        <v>-0.12047715315828733</v>
      </c>
      <c r="AZ24" s="381">
        <f t="shared" si="29"/>
        <v>2.230046165631804</v>
      </c>
      <c r="BA24" s="382">
        <v>153.96194699999998</v>
      </c>
      <c r="BB24" s="380">
        <f t="shared" si="90"/>
        <v>0.92184324605654799</v>
      </c>
      <c r="BC24" s="383">
        <f t="shared" si="31"/>
        <v>2.6157428665367175</v>
      </c>
      <c r="BD24" s="379">
        <v>131.20969699999998</v>
      </c>
      <c r="BE24" s="380">
        <f t="shared" si="91"/>
        <v>0.10094645029745153</v>
      </c>
      <c r="BF24" s="381">
        <f t="shared" ref="BF24" si="118">IFERROR(BD24/#REF!-1,)</f>
        <v>0</v>
      </c>
      <c r="BG24" s="382">
        <v>131.01561100000001</v>
      </c>
      <c r="BH24" s="380">
        <f t="shared" si="93"/>
        <v>-1.4792046962807115E-3</v>
      </c>
      <c r="BI24" s="381">
        <f t="shared" ref="BI24" si="119">IFERROR(BG24/#REF!-1,)</f>
        <v>0</v>
      </c>
      <c r="BJ24" s="382">
        <v>79.050153000000009</v>
      </c>
      <c r="BK24" s="380">
        <f t="shared" si="95"/>
        <v>-0.3966356192469308</v>
      </c>
      <c r="BL24" s="381">
        <f t="shared" si="54"/>
        <v>0</v>
      </c>
      <c r="BM24" s="382">
        <v>66.116</v>
      </c>
      <c r="BN24" s="380">
        <f t="shared" si="96"/>
        <v>-0.16361958211516692</v>
      </c>
      <c r="BO24" s="383">
        <f t="shared" si="55"/>
        <v>-0.44523783552471496</v>
      </c>
      <c r="BP24" s="379">
        <v>74.62</v>
      </c>
      <c r="BQ24" s="380">
        <f t="shared" si="35"/>
        <v>0.12862242119910472</v>
      </c>
      <c r="BR24" s="381">
        <f t="shared" si="36"/>
        <v>-0.43129203324050036</v>
      </c>
      <c r="BS24" s="382">
        <v>77.12</v>
      </c>
      <c r="BT24" s="380">
        <f t="shared" si="97"/>
        <v>3.3503082283570018E-2</v>
      </c>
      <c r="BU24" s="381">
        <f t="shared" si="38"/>
        <v>-0.41136785600305292</v>
      </c>
      <c r="BV24" s="382">
        <v>111.517</v>
      </c>
      <c r="BW24" s="380">
        <f t="shared" si="98"/>
        <v>0.4460191908713691</v>
      </c>
      <c r="BX24" s="381">
        <f t="shared" si="40"/>
        <v>0.41071200709756983</v>
      </c>
      <c r="BY24" s="382">
        <v>143.761</v>
      </c>
      <c r="BZ24" s="380">
        <f t="shared" si="99"/>
        <v>0.28913977241138134</v>
      </c>
      <c r="CA24" s="383">
        <f t="shared" si="42"/>
        <v>1.1743753403109687</v>
      </c>
      <c r="CB24" s="379">
        <v>80</v>
      </c>
      <c r="CC24" s="380">
        <f t="shared" si="43"/>
        <v>-0.44352084362240107</v>
      </c>
      <c r="CD24" s="381">
        <f t="shared" si="44"/>
        <v>7.2098633074242802E-2</v>
      </c>
      <c r="CE24" s="903"/>
      <c r="CF24" s="904"/>
      <c r="CG24" s="905"/>
      <c r="CH24" s="903"/>
      <c r="CI24" s="904"/>
      <c r="CJ24" s="905"/>
      <c r="CK24" s="382"/>
      <c r="CL24" s="380" t="e">
        <f t="shared" si="48"/>
        <v>#DIV/0!</v>
      </c>
      <c r="CM24" s="383">
        <f t="shared" si="49"/>
        <v>-1</v>
      </c>
      <c r="CO24" s="382"/>
    </row>
    <row r="25" spans="1:93" ht="16.2" customHeight="1" outlineLevel="1" x14ac:dyDescent="0.4">
      <c r="A25" s="156">
        <f t="shared" si="50"/>
        <v>24</v>
      </c>
      <c r="B25" s="112" t="s">
        <v>169</v>
      </c>
      <c r="C25" s="113" t="s">
        <v>300</v>
      </c>
      <c r="D25" s="756">
        <v>0.874</v>
      </c>
      <c r="E25" s="757">
        <v>2.8380000000000001</v>
      </c>
      <c r="F25" s="757">
        <v>3.3769999999999998</v>
      </c>
      <c r="G25" s="378">
        <v>0.40400000000000003</v>
      </c>
      <c r="H25" s="379">
        <v>2.2000000000000002</v>
      </c>
      <c r="I25" s="380">
        <f t="shared" si="79"/>
        <v>4.4455445544554459</v>
      </c>
      <c r="J25" s="381">
        <f t="shared" si="1"/>
        <v>1.5171624713958813</v>
      </c>
      <c r="K25" s="382">
        <v>1.8080000000000001</v>
      </c>
      <c r="L25" s="380">
        <f t="shared" si="80"/>
        <v>-0.17818181818181822</v>
      </c>
      <c r="M25" s="381">
        <f t="shared" si="3"/>
        <v>-0.36293164200140948</v>
      </c>
      <c r="N25" s="382">
        <v>2.0550000000000002</v>
      </c>
      <c r="O25" s="380">
        <f t="shared" si="4"/>
        <v>0.13661504424778759</v>
      </c>
      <c r="P25" s="381">
        <f t="shared" si="5"/>
        <v>-0.39147172046194834</v>
      </c>
      <c r="Q25" s="382">
        <v>2.7269999999999999</v>
      </c>
      <c r="R25" s="380">
        <f t="shared" si="6"/>
        <v>0.32700729927007277</v>
      </c>
      <c r="S25" s="383">
        <f t="shared" si="7"/>
        <v>5.7499999999999991</v>
      </c>
      <c r="T25" s="379">
        <v>1.6020000000000001</v>
      </c>
      <c r="U25" s="380">
        <f t="shared" si="81"/>
        <v>-0.41254125412541243</v>
      </c>
      <c r="V25" s="381">
        <f t="shared" si="9"/>
        <v>-0.27181818181818185</v>
      </c>
      <c r="W25" s="382">
        <v>3.27</v>
      </c>
      <c r="X25" s="380">
        <f t="shared" si="82"/>
        <v>1.0411985018726591</v>
      </c>
      <c r="Y25" s="381">
        <f t="shared" si="11"/>
        <v>0.8086283185840708</v>
      </c>
      <c r="Z25" s="382">
        <v>1.587</v>
      </c>
      <c r="AA25" s="380">
        <f t="shared" si="83"/>
        <v>-0.51467889908256881</v>
      </c>
      <c r="AB25" s="381">
        <f t="shared" si="13"/>
        <v>-0.22773722627737236</v>
      </c>
      <c r="AC25" s="382">
        <v>2.7440000000000002</v>
      </c>
      <c r="AD25" s="380">
        <f t="shared" si="84"/>
        <v>0.72904851921865177</v>
      </c>
      <c r="AE25" s="383">
        <f t="shared" si="15"/>
        <v>6.2339567290063957E-3</v>
      </c>
      <c r="AF25" s="379">
        <v>0.38800000000000001</v>
      </c>
      <c r="AG25" s="380">
        <f t="shared" si="85"/>
        <v>-0.85860058309037901</v>
      </c>
      <c r="AH25" s="381">
        <f t="shared" si="17"/>
        <v>-0.75780274656679159</v>
      </c>
      <c r="AI25" s="382">
        <v>1.712</v>
      </c>
      <c r="AJ25" s="380">
        <f t="shared" si="86"/>
        <v>3.412371134020618</v>
      </c>
      <c r="AK25" s="381">
        <f t="shared" si="19"/>
        <v>-0.47645259938837925</v>
      </c>
      <c r="AL25" s="382">
        <v>0.28999999999999998</v>
      </c>
      <c r="AM25" s="380">
        <f t="shared" si="87"/>
        <v>-0.83060747663551404</v>
      </c>
      <c r="AN25" s="381">
        <f t="shared" si="21"/>
        <v>-0.81726528040327662</v>
      </c>
      <c r="AO25" s="382">
        <v>2.04</v>
      </c>
      <c r="AP25" s="380">
        <f t="shared" si="104"/>
        <v>6.0344827586206904</v>
      </c>
      <c r="AQ25" s="383">
        <f t="shared" si="23"/>
        <v>-0.2565597667638484</v>
      </c>
      <c r="AR25" s="379">
        <v>0.94499999999999995</v>
      </c>
      <c r="AS25" s="380">
        <f t="shared" si="105"/>
        <v>-0.53676470588235303</v>
      </c>
      <c r="AT25" s="381">
        <f t="shared" si="25"/>
        <v>1.4355670103092781</v>
      </c>
      <c r="AU25" s="382">
        <v>2.2429950000000001</v>
      </c>
      <c r="AV25" s="380">
        <f t="shared" si="88"/>
        <v>1.3735396825396826</v>
      </c>
      <c r="AW25" s="381">
        <f t="shared" si="27"/>
        <v>0.31016063084112155</v>
      </c>
      <c r="AX25" s="382">
        <v>0.96899999999999997</v>
      </c>
      <c r="AY25" s="380">
        <f t="shared" si="89"/>
        <v>-0.5679883370225971</v>
      </c>
      <c r="AZ25" s="381">
        <f t="shared" si="29"/>
        <v>2.3413793103448279</v>
      </c>
      <c r="BA25" s="382">
        <v>0.51800000000000002</v>
      </c>
      <c r="BB25" s="380">
        <f t="shared" si="90"/>
        <v>-0.46542827657378738</v>
      </c>
      <c r="BC25" s="383">
        <f t="shared" si="31"/>
        <v>-0.74607843137254903</v>
      </c>
      <c r="BD25" s="379">
        <v>1.4710000000000001</v>
      </c>
      <c r="BE25" s="380">
        <f t="shared" si="91"/>
        <v>-0.48167723749119096</v>
      </c>
      <c r="BF25" s="381">
        <f t="shared" ref="BF25" si="120">IFERROR(BD25/#REF!-1,)</f>
        <v>0</v>
      </c>
      <c r="BG25" s="382">
        <v>4.6500000000000004</v>
      </c>
      <c r="BH25" s="380">
        <f t="shared" si="93"/>
        <v>2.1611148878314075</v>
      </c>
      <c r="BI25" s="381">
        <f t="shared" ref="BI25" si="121">IFERROR(BG25/#REF!-1,)</f>
        <v>0</v>
      </c>
      <c r="BJ25" s="382">
        <v>6.1243350000000003</v>
      </c>
      <c r="BK25" s="380">
        <f t="shared" si="95"/>
        <v>0.31706129032258068</v>
      </c>
      <c r="BL25" s="381">
        <f t="shared" si="54"/>
        <v>0</v>
      </c>
      <c r="BM25" s="382">
        <v>3.5609999999999999</v>
      </c>
      <c r="BN25" s="380">
        <f t="shared" si="96"/>
        <v>-0.41854911594483324</v>
      </c>
      <c r="BO25" s="383">
        <f t="shared" si="55"/>
        <v>0.25475687103594069</v>
      </c>
      <c r="BP25" s="379">
        <v>7.9550000000000001</v>
      </c>
      <c r="BQ25" s="380">
        <f t="shared" si="35"/>
        <v>1.2339230553215388</v>
      </c>
      <c r="BR25" s="381">
        <f t="shared" si="36"/>
        <v>4.4078857919782459</v>
      </c>
      <c r="BS25" s="382">
        <v>24.12</v>
      </c>
      <c r="BT25" s="380">
        <f t="shared" si="97"/>
        <v>2.0320553111250788</v>
      </c>
      <c r="BU25" s="381">
        <f t="shared" si="38"/>
        <v>4.1870967741935479</v>
      </c>
      <c r="BV25" s="382">
        <v>1.4410000000000001</v>
      </c>
      <c r="BW25" s="380">
        <f t="shared" si="98"/>
        <v>-0.94025704809286903</v>
      </c>
      <c r="BX25" s="381">
        <f t="shared" si="40"/>
        <v>-0.76470914801362111</v>
      </c>
      <c r="BY25" s="382">
        <v>8.4600000000000009</v>
      </c>
      <c r="BZ25" s="380">
        <f t="shared" si="99"/>
        <v>4.8709229701596115</v>
      </c>
      <c r="CA25" s="383">
        <f t="shared" si="42"/>
        <v>1.3757371524852573</v>
      </c>
      <c r="CB25" s="379">
        <v>6</v>
      </c>
      <c r="CC25" s="380">
        <f t="shared" si="43"/>
        <v>-0.29078014184397172</v>
      </c>
      <c r="CD25" s="381">
        <f t="shared" si="44"/>
        <v>-0.24575738529226898</v>
      </c>
      <c r="CE25" s="903"/>
      <c r="CF25" s="904"/>
      <c r="CG25" s="905"/>
      <c r="CH25" s="903"/>
      <c r="CI25" s="904"/>
      <c r="CJ25" s="905"/>
      <c r="CK25" s="382"/>
      <c r="CL25" s="380" t="e">
        <f t="shared" si="48"/>
        <v>#DIV/0!</v>
      </c>
      <c r="CM25" s="383">
        <f t="shared" si="49"/>
        <v>-1</v>
      </c>
      <c r="CO25" s="382"/>
    </row>
    <row r="26" spans="1:93" ht="16.2" customHeight="1" outlineLevel="1" x14ac:dyDescent="0.4">
      <c r="A26" s="156">
        <f t="shared" si="50"/>
        <v>25</v>
      </c>
      <c r="B26" s="112" t="s">
        <v>170</v>
      </c>
      <c r="C26" s="113" t="s">
        <v>171</v>
      </c>
      <c r="D26" s="756">
        <v>29.02</v>
      </c>
      <c r="E26" s="757">
        <v>38.457999999999998</v>
      </c>
      <c r="F26" s="757">
        <v>32.148000000000003</v>
      </c>
      <c r="G26" s="378">
        <v>53.89</v>
      </c>
      <c r="H26" s="379">
        <v>48.000999999999998</v>
      </c>
      <c r="I26" s="380">
        <f t="shared" si="79"/>
        <v>-0.10927815921321216</v>
      </c>
      <c r="J26" s="381">
        <f t="shared" si="1"/>
        <v>0.65406616126809092</v>
      </c>
      <c r="K26" s="382">
        <v>52.402999999999999</v>
      </c>
      <c r="L26" s="380">
        <f t="shared" si="80"/>
        <v>9.1706422782858787E-2</v>
      </c>
      <c r="M26" s="381">
        <f t="shared" si="3"/>
        <v>0.36260335950907496</v>
      </c>
      <c r="N26" s="382">
        <v>40.954000000000001</v>
      </c>
      <c r="O26" s="380">
        <f t="shared" si="4"/>
        <v>-0.21847985802339553</v>
      </c>
      <c r="P26" s="381">
        <f t="shared" si="5"/>
        <v>0.27392061714570093</v>
      </c>
      <c r="Q26" s="382">
        <v>58.067</v>
      </c>
      <c r="R26" s="380">
        <f t="shared" si="6"/>
        <v>0.4178590613859452</v>
      </c>
      <c r="S26" s="383">
        <f t="shared" si="7"/>
        <v>7.7509742067173759E-2</v>
      </c>
      <c r="T26" s="379">
        <v>57.42</v>
      </c>
      <c r="U26" s="380">
        <f t="shared" si="81"/>
        <v>-1.1142301134895893E-2</v>
      </c>
      <c r="V26" s="381">
        <f t="shared" si="9"/>
        <v>0.19622507864419503</v>
      </c>
      <c r="W26" s="382">
        <v>60.719000000000001</v>
      </c>
      <c r="X26" s="380">
        <f t="shared" si="82"/>
        <v>5.7453848833159071E-2</v>
      </c>
      <c r="Y26" s="381">
        <f t="shared" si="11"/>
        <v>0.15869320458752356</v>
      </c>
      <c r="Z26" s="382">
        <v>29.262</v>
      </c>
      <c r="AA26" s="380">
        <f t="shared" si="83"/>
        <v>-0.51807506711243601</v>
      </c>
      <c r="AB26" s="381">
        <f t="shared" si="13"/>
        <v>-0.28549103872637593</v>
      </c>
      <c r="AC26" s="382">
        <v>43.156999999999996</v>
      </c>
      <c r="AD26" s="380">
        <f t="shared" si="84"/>
        <v>0.47484792563734524</v>
      </c>
      <c r="AE26" s="383">
        <f t="shared" si="15"/>
        <v>-0.25677234918284053</v>
      </c>
      <c r="AF26" s="379">
        <v>102.057</v>
      </c>
      <c r="AG26" s="380">
        <f t="shared" si="85"/>
        <v>1.364784391871539</v>
      </c>
      <c r="AH26" s="381">
        <f t="shared" si="17"/>
        <v>0.77737722048066882</v>
      </c>
      <c r="AI26" s="382">
        <v>16.495000000000001</v>
      </c>
      <c r="AJ26" s="380">
        <f t="shared" si="86"/>
        <v>-0.83837463378308197</v>
      </c>
      <c r="AK26" s="381">
        <f t="shared" si="19"/>
        <v>-0.72833874075659999</v>
      </c>
      <c r="AL26" s="382">
        <v>10.592000000000001</v>
      </c>
      <c r="AM26" s="380">
        <f t="shared" si="87"/>
        <v>-0.35786602000606249</v>
      </c>
      <c r="AN26" s="381">
        <f t="shared" si="21"/>
        <v>-0.63802884286788331</v>
      </c>
      <c r="AO26" s="382">
        <v>134.61600000000001</v>
      </c>
      <c r="AP26" s="380">
        <f t="shared" si="104"/>
        <v>11.709214501510575</v>
      </c>
      <c r="AQ26" s="383">
        <f t="shared" si="23"/>
        <v>2.1192158861830066</v>
      </c>
      <c r="AR26" s="379">
        <v>129.94999999999999</v>
      </c>
      <c r="AS26" s="380">
        <f t="shared" si="105"/>
        <v>-3.4661555832887769E-2</v>
      </c>
      <c r="AT26" s="381">
        <f t="shared" si="25"/>
        <v>0.27330805334273967</v>
      </c>
      <c r="AU26" s="382">
        <v>25.524519999999988</v>
      </c>
      <c r="AV26" s="380">
        <f t="shared" si="88"/>
        <v>-0.80358199307425937</v>
      </c>
      <c r="AW26" s="381">
        <f t="shared" si="27"/>
        <v>0.54740951803576765</v>
      </c>
      <c r="AX26" s="382">
        <v>49.280889000000002</v>
      </c>
      <c r="AY26" s="380">
        <f t="shared" si="89"/>
        <v>0.93072735549973218</v>
      </c>
      <c r="AZ26" s="381">
        <f t="shared" si="29"/>
        <v>3.6526519070996981</v>
      </c>
      <c r="BA26" s="382">
        <v>65.498146000000006</v>
      </c>
      <c r="BB26" s="380">
        <f t="shared" si="90"/>
        <v>0.32907801237108369</v>
      </c>
      <c r="BC26" s="383">
        <f t="shared" si="31"/>
        <v>-0.51344456825340234</v>
      </c>
      <c r="BD26" s="379">
        <v>64.948830000000001</v>
      </c>
      <c r="BE26" s="380">
        <f t="shared" si="91"/>
        <v>0.68882495189557447</v>
      </c>
      <c r="BF26" s="381">
        <f t="shared" ref="BF26" si="122">IFERROR(BD26/#REF!-1,)</f>
        <v>0</v>
      </c>
      <c r="BG26" s="382">
        <v>58.761779000000004</v>
      </c>
      <c r="BH26" s="380">
        <f t="shared" si="93"/>
        <v>-9.5260391911601738E-2</v>
      </c>
      <c r="BI26" s="381">
        <f t="shared" ref="BI26" si="123">IFERROR(BG26/#REF!-1,)</f>
        <v>0</v>
      </c>
      <c r="BJ26" s="382">
        <v>19.258517999999999</v>
      </c>
      <c r="BK26" s="380">
        <f t="shared" si="95"/>
        <v>-0.67226114784577917</v>
      </c>
      <c r="BL26" s="381">
        <f t="shared" si="54"/>
        <v>0</v>
      </c>
      <c r="BM26" s="382">
        <v>86.635000000000005</v>
      </c>
      <c r="BN26" s="380">
        <f t="shared" si="96"/>
        <v>3.4985289106877282</v>
      </c>
      <c r="BO26" s="383">
        <f t="shared" si="55"/>
        <v>1.2527172499869992</v>
      </c>
      <c r="BP26" s="379">
        <v>96.108000000000004</v>
      </c>
      <c r="BQ26" s="380">
        <f t="shared" si="35"/>
        <v>0.10934379869567734</v>
      </c>
      <c r="BR26" s="381">
        <f t="shared" si="36"/>
        <v>0.47974951973730717</v>
      </c>
      <c r="BS26" s="382">
        <v>50.777000000000001</v>
      </c>
      <c r="BT26" s="380">
        <f t="shared" si="97"/>
        <v>-0.4716672909643318</v>
      </c>
      <c r="BU26" s="381">
        <f t="shared" si="38"/>
        <v>-0.13588388806268104</v>
      </c>
      <c r="BV26" s="382">
        <v>144.327</v>
      </c>
      <c r="BW26" s="380">
        <f t="shared" si="98"/>
        <v>1.8423695767768873</v>
      </c>
      <c r="BX26" s="381">
        <f t="shared" si="40"/>
        <v>6.4941903629344688</v>
      </c>
      <c r="BY26" s="382">
        <v>141.71700000000001</v>
      </c>
      <c r="BZ26" s="380">
        <f t="shared" si="99"/>
        <v>-1.8083934398968937E-2</v>
      </c>
      <c r="CA26" s="383">
        <f t="shared" si="42"/>
        <v>0.63579384775206327</v>
      </c>
      <c r="CB26" s="379">
        <v>38</v>
      </c>
      <c r="CC26" s="380">
        <f t="shared" si="43"/>
        <v>-0.73185997445613449</v>
      </c>
      <c r="CD26" s="381">
        <f t="shared" si="44"/>
        <v>-0.60461147875306942</v>
      </c>
      <c r="CE26" s="903"/>
      <c r="CF26" s="904"/>
      <c r="CG26" s="905"/>
      <c r="CH26" s="903"/>
      <c r="CI26" s="904"/>
      <c r="CJ26" s="905"/>
      <c r="CK26" s="382"/>
      <c r="CL26" s="380" t="e">
        <f t="shared" si="48"/>
        <v>#DIV/0!</v>
      </c>
      <c r="CM26" s="383">
        <f t="shared" si="49"/>
        <v>-1</v>
      </c>
      <c r="CO26" s="382"/>
    </row>
    <row r="27" spans="1:93" ht="16.2" customHeight="1" outlineLevel="1" x14ac:dyDescent="0.4">
      <c r="A27" s="156">
        <f t="shared" si="50"/>
        <v>26</v>
      </c>
      <c r="B27" s="112" t="s">
        <v>172</v>
      </c>
      <c r="C27" s="113" t="s">
        <v>301</v>
      </c>
      <c r="D27" s="756">
        <v>8.7149999999999999</v>
      </c>
      <c r="E27" s="757">
        <v>8.5090000000000003</v>
      </c>
      <c r="F27" s="757">
        <v>9.27</v>
      </c>
      <c r="G27" s="378">
        <v>11.981</v>
      </c>
      <c r="H27" s="379">
        <v>13.058999999999999</v>
      </c>
      <c r="I27" s="380">
        <f t="shared" si="79"/>
        <v>8.9975795008763848E-2</v>
      </c>
      <c r="J27" s="381">
        <f t="shared" si="1"/>
        <v>0.4984509466437177</v>
      </c>
      <c r="K27" s="382">
        <v>12.664</v>
      </c>
      <c r="L27" s="380">
        <f t="shared" si="80"/>
        <v>-3.0247338999923379E-2</v>
      </c>
      <c r="M27" s="381">
        <f t="shared" si="3"/>
        <v>0.48830649900105771</v>
      </c>
      <c r="N27" s="382">
        <v>11.855</v>
      </c>
      <c r="O27" s="380">
        <f t="shared" si="4"/>
        <v>-6.3881869867340457E-2</v>
      </c>
      <c r="P27" s="381">
        <f t="shared" si="5"/>
        <v>0.27885652642934211</v>
      </c>
      <c r="Q27" s="382">
        <v>11.071999999999999</v>
      </c>
      <c r="R27" s="380">
        <f t="shared" si="6"/>
        <v>-6.6048080978490242E-2</v>
      </c>
      <c r="S27" s="383">
        <f t="shared" si="7"/>
        <v>-7.5870127702195256E-2</v>
      </c>
      <c r="T27" s="379">
        <v>7.4219999999999997</v>
      </c>
      <c r="U27" s="380">
        <f t="shared" si="81"/>
        <v>-0.32966040462427748</v>
      </c>
      <c r="V27" s="381">
        <f t="shared" si="9"/>
        <v>-0.43165632896852746</v>
      </c>
      <c r="W27" s="382">
        <v>5.2750000000000004</v>
      </c>
      <c r="X27" s="380">
        <f t="shared" si="82"/>
        <v>-0.28927512799784416</v>
      </c>
      <c r="Y27" s="381">
        <f t="shared" si="11"/>
        <v>-0.5834649399873657</v>
      </c>
      <c r="Z27" s="382">
        <v>5.6349999999999998</v>
      </c>
      <c r="AA27" s="380">
        <f t="shared" si="83"/>
        <v>6.8246445497630148E-2</v>
      </c>
      <c r="AB27" s="381">
        <f t="shared" si="13"/>
        <v>-0.52467313369886126</v>
      </c>
      <c r="AC27" s="382">
        <v>7.9020000000000001</v>
      </c>
      <c r="AD27" s="380">
        <f t="shared" si="84"/>
        <v>0.40230700976042599</v>
      </c>
      <c r="AE27" s="383">
        <f t="shared" si="15"/>
        <v>-0.28630780346820806</v>
      </c>
      <c r="AF27" s="379">
        <v>2.8879999999999999</v>
      </c>
      <c r="AG27" s="380">
        <f t="shared" si="85"/>
        <v>-0.63452290559352065</v>
      </c>
      <c r="AH27" s="381">
        <f t="shared" si="17"/>
        <v>-0.61088655348962551</v>
      </c>
      <c r="AI27" s="382">
        <v>3.3149999999999999</v>
      </c>
      <c r="AJ27" s="380">
        <f t="shared" si="86"/>
        <v>0.14785318559556782</v>
      </c>
      <c r="AK27" s="381">
        <f t="shared" si="19"/>
        <v>-0.37156398104265409</v>
      </c>
      <c r="AL27" s="382">
        <v>2.7320000000000002</v>
      </c>
      <c r="AM27" s="380">
        <f t="shared" si="87"/>
        <v>-0.17586726998491697</v>
      </c>
      <c r="AN27" s="381">
        <f t="shared" si="21"/>
        <v>-0.51517302573203194</v>
      </c>
      <c r="AO27" s="382">
        <v>4.492</v>
      </c>
      <c r="AP27" s="380">
        <f t="shared" si="104"/>
        <v>0.64421669106881385</v>
      </c>
      <c r="AQ27" s="383">
        <f t="shared" si="23"/>
        <v>-0.43153631991900787</v>
      </c>
      <c r="AR27" s="379">
        <v>4.5759999999999996</v>
      </c>
      <c r="AS27" s="380">
        <f t="shared" si="105"/>
        <v>1.8699910952804988E-2</v>
      </c>
      <c r="AT27" s="381">
        <f t="shared" si="25"/>
        <v>0.58448753462603875</v>
      </c>
      <c r="AU27" s="382">
        <v>3.36409</v>
      </c>
      <c r="AV27" s="380">
        <f t="shared" si="88"/>
        <v>-0.26484047202797201</v>
      </c>
      <c r="AW27" s="381">
        <f t="shared" si="27"/>
        <v>1.4808446455505386E-2</v>
      </c>
      <c r="AX27" s="382">
        <v>4.3315659999999996</v>
      </c>
      <c r="AY27" s="380">
        <f t="shared" si="89"/>
        <v>0.28758921431947404</v>
      </c>
      <c r="AZ27" s="381">
        <f t="shared" si="29"/>
        <v>0.58549267935578309</v>
      </c>
      <c r="BA27" s="382">
        <v>10.280646000000001</v>
      </c>
      <c r="BB27" s="380">
        <f t="shared" si="90"/>
        <v>1.3734247613911461</v>
      </c>
      <c r="BC27" s="383">
        <f t="shared" si="31"/>
        <v>1.2886567230632235</v>
      </c>
      <c r="BD27" s="379">
        <v>5.4849489999999994</v>
      </c>
      <c r="BE27" s="380">
        <f t="shared" si="91"/>
        <v>-0.35539440592314031</v>
      </c>
      <c r="BF27" s="381">
        <f t="shared" ref="BF27" si="124">IFERROR(BD27/#REF!-1,)</f>
        <v>0</v>
      </c>
      <c r="BG27" s="382">
        <v>3.4533800000000001</v>
      </c>
      <c r="BH27" s="380">
        <f t="shared" si="93"/>
        <v>-0.37038977026039799</v>
      </c>
      <c r="BI27" s="381">
        <f t="shared" ref="BI27" si="125">IFERROR(BG27/#REF!-1,)</f>
        <v>0</v>
      </c>
      <c r="BJ27" s="382">
        <v>6.5245360000000003</v>
      </c>
      <c r="BK27" s="380">
        <f t="shared" si="95"/>
        <v>0.88931887020831768</v>
      </c>
      <c r="BL27" s="381">
        <f t="shared" si="54"/>
        <v>0</v>
      </c>
      <c r="BM27" s="382">
        <v>3.9359999999999999</v>
      </c>
      <c r="BN27" s="380">
        <f t="shared" si="96"/>
        <v>-0.3967387106148238</v>
      </c>
      <c r="BO27" s="383">
        <f t="shared" si="55"/>
        <v>-0.53743095545892583</v>
      </c>
      <c r="BP27" s="379">
        <v>5.0010000000000003</v>
      </c>
      <c r="BQ27" s="380">
        <f t="shared" si="35"/>
        <v>0.27057926829268308</v>
      </c>
      <c r="BR27" s="381">
        <f t="shared" si="36"/>
        <v>-8.8232178640129444E-2</v>
      </c>
      <c r="BS27" s="382">
        <v>4.6269999999999998</v>
      </c>
      <c r="BT27" s="380">
        <f t="shared" si="97"/>
        <v>-7.4785042991401873E-2</v>
      </c>
      <c r="BU27" s="381">
        <f t="shared" si="38"/>
        <v>0.33984675882758331</v>
      </c>
      <c r="BV27" s="382">
        <v>4.0720000000000001</v>
      </c>
      <c r="BW27" s="380">
        <f t="shared" si="98"/>
        <v>-0.11994813053814557</v>
      </c>
      <c r="BX27" s="381">
        <f t="shared" si="40"/>
        <v>-0.37589431646940108</v>
      </c>
      <c r="BY27" s="382">
        <v>4.9420000000000002</v>
      </c>
      <c r="BZ27" s="380">
        <f t="shared" si="99"/>
        <v>0.21365422396856593</v>
      </c>
      <c r="CA27" s="383">
        <f t="shared" si="42"/>
        <v>0.25558943089430897</v>
      </c>
      <c r="CB27" s="379">
        <v>5</v>
      </c>
      <c r="CC27" s="380">
        <f t="shared" si="43"/>
        <v>1.1736139214892694E-2</v>
      </c>
      <c r="CD27" s="381">
        <f t="shared" si="44"/>
        <v>-1.9996000799848979E-4</v>
      </c>
      <c r="CE27" s="903"/>
      <c r="CF27" s="904"/>
      <c r="CG27" s="905"/>
      <c r="CH27" s="903"/>
      <c r="CI27" s="904"/>
      <c r="CJ27" s="905"/>
      <c r="CK27" s="382"/>
      <c r="CL27" s="380" t="e">
        <f t="shared" si="48"/>
        <v>#DIV/0!</v>
      </c>
      <c r="CM27" s="383">
        <f t="shared" si="49"/>
        <v>-1</v>
      </c>
      <c r="CO27" s="382"/>
    </row>
    <row r="28" spans="1:93" ht="16.2" customHeight="1" outlineLevel="1" x14ac:dyDescent="0.4">
      <c r="A28" s="156">
        <f t="shared" si="50"/>
        <v>27</v>
      </c>
      <c r="B28" s="112" t="s">
        <v>54</v>
      </c>
      <c r="C28" s="113" t="s">
        <v>302</v>
      </c>
      <c r="D28" s="756">
        <v>73.09</v>
      </c>
      <c r="E28" s="757">
        <v>62.7</v>
      </c>
      <c r="F28" s="757">
        <v>55.139000000000003</v>
      </c>
      <c r="G28" s="378">
        <v>62.332000000000001</v>
      </c>
      <c r="H28" s="379">
        <v>123.158</v>
      </c>
      <c r="I28" s="380">
        <f t="shared" si="79"/>
        <v>0.9758390553808638</v>
      </c>
      <c r="J28" s="381">
        <f t="shared" si="1"/>
        <v>0.68501847037898478</v>
      </c>
      <c r="K28" s="382">
        <v>69.156999999999996</v>
      </c>
      <c r="L28" s="380">
        <f t="shared" si="80"/>
        <v>-0.4384692833595869</v>
      </c>
      <c r="M28" s="381">
        <f t="shared" si="3"/>
        <v>0.10298245614035073</v>
      </c>
      <c r="N28" s="382">
        <v>43.512999999999998</v>
      </c>
      <c r="O28" s="380">
        <f t="shared" si="4"/>
        <v>-0.37080845033763754</v>
      </c>
      <c r="P28" s="381">
        <f t="shared" si="5"/>
        <v>-0.21084894539255339</v>
      </c>
      <c r="Q28" s="382">
        <v>17.170000000000002</v>
      </c>
      <c r="R28" s="380">
        <f t="shared" si="6"/>
        <v>-0.60540528118033687</v>
      </c>
      <c r="S28" s="383">
        <f t="shared" si="7"/>
        <v>-0.72453956234357952</v>
      </c>
      <c r="T28" s="379">
        <v>66.292000000000002</v>
      </c>
      <c r="U28" s="380">
        <f t="shared" si="81"/>
        <v>2.8609202096680253</v>
      </c>
      <c r="V28" s="381">
        <f t="shared" si="9"/>
        <v>-0.4617320839896718</v>
      </c>
      <c r="W28" s="382">
        <v>16.728000000000002</v>
      </c>
      <c r="X28" s="380">
        <f t="shared" si="82"/>
        <v>-0.74766185965123988</v>
      </c>
      <c r="Y28" s="381">
        <f t="shared" si="11"/>
        <v>-0.75811559205864909</v>
      </c>
      <c r="Z28" s="382">
        <v>21.324999999999999</v>
      </c>
      <c r="AA28" s="380">
        <f t="shared" si="83"/>
        <v>0.2748087039693925</v>
      </c>
      <c r="AB28" s="381">
        <f t="shared" si="13"/>
        <v>-0.50991657665525247</v>
      </c>
      <c r="AC28" s="382">
        <v>26.46</v>
      </c>
      <c r="AD28" s="380">
        <f t="shared" si="84"/>
        <v>0.24079718640093795</v>
      </c>
      <c r="AE28" s="383">
        <f t="shared" si="15"/>
        <v>0.54105998835177616</v>
      </c>
      <c r="AF28" s="379">
        <v>30.109000000000002</v>
      </c>
      <c r="AG28" s="380">
        <f t="shared" si="85"/>
        <v>0.13790627362055941</v>
      </c>
      <c r="AH28" s="381">
        <f t="shared" si="17"/>
        <v>-0.54581246605925293</v>
      </c>
      <c r="AI28" s="382">
        <v>20.038</v>
      </c>
      <c r="AJ28" s="380">
        <f t="shared" si="86"/>
        <v>-0.33448470556976317</v>
      </c>
      <c r="AK28" s="381">
        <f t="shared" si="19"/>
        <v>0.19787183165949296</v>
      </c>
      <c r="AL28" s="382">
        <v>33.878999999999998</v>
      </c>
      <c r="AM28" s="380">
        <f t="shared" si="87"/>
        <v>0.69073759856273065</v>
      </c>
      <c r="AN28" s="381">
        <f t="shared" si="21"/>
        <v>0.58869871043376309</v>
      </c>
      <c r="AO28" s="382">
        <v>76.872</v>
      </c>
      <c r="AP28" s="380">
        <f t="shared" si="104"/>
        <v>1.2690162047285929</v>
      </c>
      <c r="AQ28" s="383">
        <f t="shared" si="23"/>
        <v>1.9052154195011335</v>
      </c>
      <c r="AR28" s="379">
        <v>44.045000000000002</v>
      </c>
      <c r="AS28" s="380">
        <f t="shared" si="105"/>
        <v>-0.4270345509418253</v>
      </c>
      <c r="AT28" s="381">
        <f t="shared" si="25"/>
        <v>0.46285163904480386</v>
      </c>
      <c r="AU28" s="382">
        <v>37.768633000000001</v>
      </c>
      <c r="AV28" s="380">
        <f t="shared" si="88"/>
        <v>-0.14249896696560338</v>
      </c>
      <c r="AW28" s="381">
        <f t="shared" si="27"/>
        <v>0.88485043417506737</v>
      </c>
      <c r="AX28" s="382">
        <v>37.536000000000001</v>
      </c>
      <c r="AY28" s="380">
        <f t="shared" si="89"/>
        <v>-6.1594233500588125E-3</v>
      </c>
      <c r="AZ28" s="381">
        <f t="shared" si="29"/>
        <v>0.10794297352342164</v>
      </c>
      <c r="BA28" s="382">
        <v>25.192686000000002</v>
      </c>
      <c r="BB28" s="380">
        <f t="shared" si="90"/>
        <v>-0.32883935421994881</v>
      </c>
      <c r="BC28" s="383">
        <f t="shared" si="31"/>
        <v>-0.67227747424289719</v>
      </c>
      <c r="BD28" s="379">
        <v>15.141788</v>
      </c>
      <c r="BE28" s="380">
        <f t="shared" si="91"/>
        <v>-0.75850417862838915</v>
      </c>
      <c r="BF28" s="381">
        <f t="shared" ref="BF28" si="126">IFERROR(BD28/#REF!-1,)</f>
        <v>0</v>
      </c>
      <c r="BG28" s="382">
        <v>66.614672000000013</v>
      </c>
      <c r="BH28" s="380">
        <f t="shared" si="93"/>
        <v>3.3993927269355515</v>
      </c>
      <c r="BI28" s="381">
        <f t="shared" ref="BI28" si="127">IFERROR(BG28/#REF!-1,)</f>
        <v>0</v>
      </c>
      <c r="BJ28" s="382">
        <v>26.903271</v>
      </c>
      <c r="BK28" s="380">
        <f t="shared" si="95"/>
        <v>-0.59613595335273895</v>
      </c>
      <c r="BL28" s="381">
        <f t="shared" si="54"/>
        <v>0</v>
      </c>
      <c r="BM28" s="382">
        <v>29.285</v>
      </c>
      <c r="BN28" s="380">
        <f t="shared" si="96"/>
        <v>8.8529346487272953E-2</v>
      </c>
      <c r="BO28" s="383">
        <f t="shared" si="55"/>
        <v>-0.53293460925039882</v>
      </c>
      <c r="BP28" s="379">
        <v>58.143999999999998</v>
      </c>
      <c r="BQ28" s="380">
        <f t="shared" si="35"/>
        <v>0.98545330373911555</v>
      </c>
      <c r="BR28" s="381">
        <f t="shared" si="36"/>
        <v>2.8399692295256016</v>
      </c>
      <c r="BS28" s="382">
        <v>47.667000000000002</v>
      </c>
      <c r="BT28" s="380">
        <f t="shared" si="97"/>
        <v>-0.18019056136488709</v>
      </c>
      <c r="BU28" s="381">
        <f t="shared" si="38"/>
        <v>-0.2844369180411187</v>
      </c>
      <c r="BV28" s="382">
        <v>54.433999999999997</v>
      </c>
      <c r="BW28" s="380">
        <f t="shared" si="98"/>
        <v>0.14196404220949499</v>
      </c>
      <c r="BX28" s="381">
        <f t="shared" si="40"/>
        <v>1.023322740197651</v>
      </c>
      <c r="BY28" s="382">
        <v>34.817999999999998</v>
      </c>
      <c r="BZ28" s="380">
        <f t="shared" si="99"/>
        <v>-0.36036300841385904</v>
      </c>
      <c r="CA28" s="383">
        <f t="shared" si="42"/>
        <v>0.18893631551989065</v>
      </c>
      <c r="CB28" s="379">
        <v>27</v>
      </c>
      <c r="CC28" s="380">
        <f t="shared" si="43"/>
        <v>-0.22453903153541266</v>
      </c>
      <c r="CD28" s="381">
        <f t="shared" si="44"/>
        <v>-0.5356356631810677</v>
      </c>
      <c r="CE28" s="903"/>
      <c r="CF28" s="904"/>
      <c r="CG28" s="905"/>
      <c r="CH28" s="903"/>
      <c r="CI28" s="904"/>
      <c r="CJ28" s="905"/>
      <c r="CK28" s="382"/>
      <c r="CL28" s="380" t="e">
        <f t="shared" si="48"/>
        <v>#DIV/0!</v>
      </c>
      <c r="CM28" s="383">
        <f t="shared" si="49"/>
        <v>-1</v>
      </c>
      <c r="CO28" s="382"/>
    </row>
    <row r="29" spans="1:93" ht="16.2" customHeight="1" outlineLevel="1" x14ac:dyDescent="0.4">
      <c r="A29" s="156">
        <f t="shared" si="50"/>
        <v>28</v>
      </c>
      <c r="B29" s="112" t="s">
        <v>173</v>
      </c>
      <c r="C29" s="113" t="s">
        <v>182</v>
      </c>
      <c r="D29" s="756">
        <v>2.0779999999999998</v>
      </c>
      <c r="E29" s="757">
        <v>1.385</v>
      </c>
      <c r="F29" s="757">
        <v>0.251</v>
      </c>
      <c r="G29" s="378">
        <v>9.1620000000000008</v>
      </c>
      <c r="H29" s="379">
        <v>10.188000000000001</v>
      </c>
      <c r="I29" s="380">
        <f t="shared" si="79"/>
        <v>0.11198428290766205</v>
      </c>
      <c r="J29" s="381">
        <f t="shared" si="1"/>
        <v>3.902791145332051</v>
      </c>
      <c r="K29" s="382">
        <v>5.5279999999999996</v>
      </c>
      <c r="L29" s="380">
        <f t="shared" si="80"/>
        <v>-0.45740086376128786</v>
      </c>
      <c r="M29" s="381">
        <f t="shared" si="3"/>
        <v>2.991335740072202</v>
      </c>
      <c r="N29" s="382">
        <v>18.823</v>
      </c>
      <c r="O29" s="380">
        <f t="shared" si="4"/>
        <v>2.4050289435600583</v>
      </c>
      <c r="P29" s="381">
        <f t="shared" si="5"/>
        <v>73.992031872509955</v>
      </c>
      <c r="Q29" s="382">
        <v>12.846</v>
      </c>
      <c r="R29" s="380">
        <f t="shared" si="6"/>
        <v>-0.31753705572969237</v>
      </c>
      <c r="S29" s="383">
        <f t="shared" si="7"/>
        <v>0.40209561231172231</v>
      </c>
      <c r="T29" s="379">
        <v>1.9530000000000001</v>
      </c>
      <c r="U29" s="380">
        <f t="shared" si="81"/>
        <v>-0.8479682391405885</v>
      </c>
      <c r="V29" s="381">
        <f t="shared" si="9"/>
        <v>-0.80830388692579502</v>
      </c>
      <c r="W29" s="382">
        <v>2.9220000000000002</v>
      </c>
      <c r="X29" s="380">
        <f t="shared" si="82"/>
        <v>0.49615975422427039</v>
      </c>
      <c r="Y29" s="381">
        <f t="shared" si="11"/>
        <v>-0.47141823444283637</v>
      </c>
      <c r="Z29" s="382">
        <v>33.845999999999997</v>
      </c>
      <c r="AA29" s="380">
        <f t="shared" si="83"/>
        <v>10.583162217659137</v>
      </c>
      <c r="AB29" s="381">
        <f t="shared" si="13"/>
        <v>0.79811932210593395</v>
      </c>
      <c r="AC29" s="382">
        <v>6.5549999999999997</v>
      </c>
      <c r="AD29" s="380">
        <f t="shared" si="84"/>
        <v>-0.806328665130296</v>
      </c>
      <c r="AE29" s="383">
        <f t="shared" si="15"/>
        <v>-0.48972442783745918</v>
      </c>
      <c r="AF29" s="379">
        <v>38.247</v>
      </c>
      <c r="AG29" s="380">
        <f t="shared" si="85"/>
        <v>4.8347826086956527</v>
      </c>
      <c r="AH29" s="381">
        <f t="shared" si="17"/>
        <v>18.583717357910906</v>
      </c>
      <c r="AI29" s="382">
        <v>109.536</v>
      </c>
      <c r="AJ29" s="380">
        <f t="shared" si="86"/>
        <v>1.8639108949721548</v>
      </c>
      <c r="AK29" s="381">
        <f t="shared" si="19"/>
        <v>36.486652977412732</v>
      </c>
      <c r="AL29" s="382">
        <v>15.568</v>
      </c>
      <c r="AM29" s="380">
        <f t="shared" si="87"/>
        <v>-0.85787321063394684</v>
      </c>
      <c r="AN29" s="381">
        <f t="shared" si="21"/>
        <v>-0.5400342728830585</v>
      </c>
      <c r="AO29" s="382">
        <v>5.3789999999999996</v>
      </c>
      <c r="AP29" s="380">
        <f t="shared" si="104"/>
        <v>-0.65448355601233299</v>
      </c>
      <c r="AQ29" s="383">
        <f t="shared" si="23"/>
        <v>-0.17940503432494281</v>
      </c>
      <c r="AR29" s="379">
        <v>31.414000000000001</v>
      </c>
      <c r="AS29" s="380">
        <f t="shared" si="105"/>
        <v>4.8401189812232763</v>
      </c>
      <c r="AT29" s="381">
        <f t="shared" si="25"/>
        <v>-0.17865453499620876</v>
      </c>
      <c r="AU29" s="382">
        <v>14.068714999999996</v>
      </c>
      <c r="AV29" s="380">
        <f t="shared" si="88"/>
        <v>-0.55215142929903882</v>
      </c>
      <c r="AW29" s="381">
        <f t="shared" si="27"/>
        <v>-0.8715608110575519</v>
      </c>
      <c r="AX29" s="382">
        <v>11.994956</v>
      </c>
      <c r="AY29" s="380">
        <f t="shared" si="89"/>
        <v>-0.14740216146250718</v>
      </c>
      <c r="AZ29" s="381">
        <f t="shared" si="29"/>
        <v>-0.22951207605344293</v>
      </c>
      <c r="BA29" s="382">
        <v>116.45084</v>
      </c>
      <c r="BB29" s="380">
        <f t="shared" si="90"/>
        <v>8.7083173960788187</v>
      </c>
      <c r="BC29" s="383">
        <f t="shared" si="31"/>
        <v>20.649161554192229</v>
      </c>
      <c r="BD29" s="379">
        <v>4.9169999999999998</v>
      </c>
      <c r="BE29" s="380">
        <f t="shared" si="91"/>
        <v>2.5501805054151623</v>
      </c>
      <c r="BF29" s="381">
        <f t="shared" ref="BF29" si="128">IFERROR(BD29/#REF!-1,)</f>
        <v>0</v>
      </c>
      <c r="BG29" s="382">
        <v>6.0999999999999999E-2</v>
      </c>
      <c r="BH29" s="380">
        <f t="shared" si="93"/>
        <v>-0.98759406141956474</v>
      </c>
      <c r="BI29" s="381">
        <f t="shared" ref="BI29" si="129">IFERROR(BG29/#REF!-1,)</f>
        <v>0</v>
      </c>
      <c r="BJ29" s="382">
        <v>6.7000000000000004E-2</v>
      </c>
      <c r="BK29" s="380">
        <f t="shared" si="95"/>
        <v>9.8360655737705027E-2</v>
      </c>
      <c r="BL29" s="381">
        <f t="shared" si="54"/>
        <v>0</v>
      </c>
      <c r="BM29" s="382">
        <v>185.62100000000001</v>
      </c>
      <c r="BN29" s="380">
        <f t="shared" si="96"/>
        <v>2769.4626865671639</v>
      </c>
      <c r="BO29" s="383">
        <f t="shared" si="55"/>
        <v>133.02238267148016</v>
      </c>
      <c r="BP29" s="379">
        <v>0.75600000000000001</v>
      </c>
      <c r="BQ29" s="380">
        <f t="shared" si="35"/>
        <v>-0.99592718496290833</v>
      </c>
      <c r="BR29" s="381">
        <f t="shared" si="36"/>
        <v>-0.84624771201952409</v>
      </c>
      <c r="BS29" s="382">
        <v>2.6040000000000001</v>
      </c>
      <c r="BT29" s="380">
        <f t="shared" si="97"/>
        <v>2.4444444444444446</v>
      </c>
      <c r="BU29" s="381">
        <f t="shared" si="38"/>
        <v>41.688524590163937</v>
      </c>
      <c r="BV29" s="382">
        <v>2.181</v>
      </c>
      <c r="BW29" s="380">
        <f t="shared" si="98"/>
        <v>-0.1624423963133641</v>
      </c>
      <c r="BX29" s="381">
        <f t="shared" si="40"/>
        <v>31.552238805970148</v>
      </c>
      <c r="BY29" s="382">
        <v>16.704999999999998</v>
      </c>
      <c r="BZ29" s="380">
        <f t="shared" si="99"/>
        <v>6.6593305823016955</v>
      </c>
      <c r="CA29" s="383">
        <f t="shared" si="42"/>
        <v>-0.91000479471611506</v>
      </c>
      <c r="CB29" s="379">
        <v>33</v>
      </c>
      <c r="CC29" s="380">
        <f t="shared" si="43"/>
        <v>0.97545645016462168</v>
      </c>
      <c r="CD29" s="381">
        <f t="shared" si="44"/>
        <v>42.650793650793652</v>
      </c>
      <c r="CE29" s="903"/>
      <c r="CF29" s="904"/>
      <c r="CG29" s="905"/>
      <c r="CH29" s="903"/>
      <c r="CI29" s="904"/>
      <c r="CJ29" s="905"/>
      <c r="CK29" s="382"/>
      <c r="CL29" s="380" t="e">
        <f t="shared" si="48"/>
        <v>#DIV/0!</v>
      </c>
      <c r="CM29" s="383">
        <f t="shared" si="49"/>
        <v>-1</v>
      </c>
      <c r="CO29" s="382"/>
    </row>
    <row r="30" spans="1:93" ht="16.2" customHeight="1" outlineLevel="1" x14ac:dyDescent="0.4">
      <c r="A30" s="156">
        <f t="shared" si="50"/>
        <v>29</v>
      </c>
      <c r="B30" s="112" t="s">
        <v>174</v>
      </c>
      <c r="C30" s="113" t="s">
        <v>303</v>
      </c>
      <c r="D30" s="756">
        <v>0</v>
      </c>
      <c r="E30" s="757">
        <v>0</v>
      </c>
      <c r="F30" s="757">
        <v>0</v>
      </c>
      <c r="G30" s="378">
        <v>44.683999999999997</v>
      </c>
      <c r="H30" s="379">
        <v>0</v>
      </c>
      <c r="I30" s="380">
        <f t="shared" si="79"/>
        <v>-1</v>
      </c>
      <c r="J30" s="381">
        <f t="shared" si="1"/>
        <v>0</v>
      </c>
      <c r="K30" s="382">
        <v>113.43899999999999</v>
      </c>
      <c r="L30" s="380">
        <v>0</v>
      </c>
      <c r="M30" s="381">
        <f t="shared" si="3"/>
        <v>0</v>
      </c>
      <c r="N30" s="382">
        <v>98.393000000000001</v>
      </c>
      <c r="O30" s="380">
        <v>0</v>
      </c>
      <c r="P30" s="381">
        <f t="shared" si="5"/>
        <v>0</v>
      </c>
      <c r="Q30" s="382">
        <v>-25.997</v>
      </c>
      <c r="R30" s="380">
        <v>0</v>
      </c>
      <c r="S30" s="383">
        <f t="shared" si="7"/>
        <v>-1.5817966162384747</v>
      </c>
      <c r="T30" s="379">
        <v>76.081000000000003</v>
      </c>
      <c r="U30" s="380">
        <f t="shared" si="81"/>
        <v>-3.9265299842289498</v>
      </c>
      <c r="V30" s="381">
        <f t="shared" si="9"/>
        <v>0</v>
      </c>
      <c r="W30" s="382">
        <v>160.614</v>
      </c>
      <c r="X30" s="380">
        <f t="shared" si="82"/>
        <v>1.1110921254978248</v>
      </c>
      <c r="Y30" s="381">
        <f t="shared" si="11"/>
        <v>0.41586226958982375</v>
      </c>
      <c r="Z30" s="382">
        <v>59.345999999999997</v>
      </c>
      <c r="AA30" s="380">
        <f t="shared" si="83"/>
        <v>-0.63050543539168447</v>
      </c>
      <c r="AB30" s="381">
        <f t="shared" si="13"/>
        <v>-0.39684733670078165</v>
      </c>
      <c r="AC30" s="382">
        <v>-97.513999999999996</v>
      </c>
      <c r="AD30" s="380">
        <f t="shared" si="84"/>
        <v>-2.6431435985576113</v>
      </c>
      <c r="AE30" s="383">
        <f t="shared" si="15"/>
        <v>2.7509712659152976</v>
      </c>
      <c r="AF30" s="379">
        <v>93.861000000000004</v>
      </c>
      <c r="AG30" s="380">
        <f t="shared" si="85"/>
        <v>-1.9625387123900158</v>
      </c>
      <c r="AH30" s="381">
        <f t="shared" si="17"/>
        <v>0.23369829523797003</v>
      </c>
      <c r="AI30" s="382">
        <v>-10.346</v>
      </c>
      <c r="AJ30" s="380">
        <f t="shared" si="86"/>
        <v>-1.1102268247728024</v>
      </c>
      <c r="AK30" s="381">
        <f t="shared" si="19"/>
        <v>-1.0644153062622188</v>
      </c>
      <c r="AL30" s="382">
        <v>-115.101</v>
      </c>
      <c r="AM30" s="380">
        <f t="shared" si="87"/>
        <v>10.125169147496617</v>
      </c>
      <c r="AN30" s="381">
        <f t="shared" si="21"/>
        <v>-2.9394904458598727</v>
      </c>
      <c r="AO30" s="382">
        <v>-69.614000000000004</v>
      </c>
      <c r="AP30" s="380">
        <f t="shared" si="104"/>
        <v>-0.3951920487224263</v>
      </c>
      <c r="AQ30" s="383">
        <f t="shared" si="23"/>
        <v>-0.28611276329552671</v>
      </c>
      <c r="AR30" s="379">
        <v>33.86</v>
      </c>
      <c r="AS30" s="380">
        <f t="shared" si="105"/>
        <v>-1.4863964145143218</v>
      </c>
      <c r="AT30" s="381">
        <f t="shared" si="25"/>
        <v>-0.63925379017909467</v>
      </c>
      <c r="AU30" s="382">
        <v>-37.278754999999997</v>
      </c>
      <c r="AV30" s="380">
        <f t="shared" si="88"/>
        <v>-2.1009673656231538</v>
      </c>
      <c r="AW30" s="381">
        <f t="shared" si="27"/>
        <v>2.6032046201430501</v>
      </c>
      <c r="AX30" s="382">
        <v>60.164999999999999</v>
      </c>
      <c r="AY30" s="380">
        <f t="shared" si="89"/>
        <v>-2.6139219241629719</v>
      </c>
      <c r="AZ30" s="381">
        <f t="shared" si="29"/>
        <v>-1.5227148330596605</v>
      </c>
      <c r="BA30" s="382">
        <v>-37.021383</v>
      </c>
      <c r="BB30" s="380">
        <f t="shared" si="90"/>
        <v>-1.615330890052356</v>
      </c>
      <c r="BC30" s="383">
        <f t="shared" si="31"/>
        <v>-0.46819055075128568</v>
      </c>
      <c r="BD30" s="379">
        <v>98.425214999999994</v>
      </c>
      <c r="BE30" s="380" t="e">
        <f t="shared" si="91"/>
        <v>#DIV/0!</v>
      </c>
      <c r="BF30" s="381">
        <f t="shared" ref="BF30" si="130">IFERROR(BD30/#REF!-1,)</f>
        <v>0</v>
      </c>
      <c r="BG30" s="382">
        <v>55.146087000000001</v>
      </c>
      <c r="BH30" s="380">
        <f t="shared" si="93"/>
        <v>-0.43971585939639546</v>
      </c>
      <c r="BI30" s="381">
        <f t="shared" ref="BI30" si="131">IFERROR(BG30/#REF!-1,)</f>
        <v>0</v>
      </c>
      <c r="BJ30" s="382">
        <v>114.90418099999999</v>
      </c>
      <c r="BK30" s="380">
        <f t="shared" si="95"/>
        <v>1.0836325340726352</v>
      </c>
      <c r="BL30" s="381">
        <f t="shared" si="54"/>
        <v>0</v>
      </c>
      <c r="BM30" s="382">
        <v>181.214</v>
      </c>
      <c r="BN30" s="380">
        <f t="shared" si="96"/>
        <v>0.57708795644259459</v>
      </c>
      <c r="BO30" s="383">
        <f t="shared" si="55"/>
        <v>0</v>
      </c>
      <c r="BP30" s="379">
        <v>-21.588000000000001</v>
      </c>
      <c r="BQ30" s="380">
        <f t="shared" si="35"/>
        <v>-1.1191298685532023</v>
      </c>
      <c r="BR30" s="381">
        <f t="shared" si="36"/>
        <v>-1.2193340395548031</v>
      </c>
      <c r="BS30" s="382">
        <v>399.49</v>
      </c>
      <c r="BT30" s="380">
        <v>0</v>
      </c>
      <c r="BU30" s="381">
        <f t="shared" si="38"/>
        <v>6.2442129937523942</v>
      </c>
      <c r="BV30" s="382">
        <v>-231.911</v>
      </c>
      <c r="BW30" s="380">
        <v>0</v>
      </c>
      <c r="BX30" s="381">
        <f t="shared" si="40"/>
        <v>-3.0182990556279239</v>
      </c>
      <c r="BY30" s="382">
        <v>-109.55800000000001</v>
      </c>
      <c r="BZ30" s="380">
        <v>0</v>
      </c>
      <c r="CA30" s="383">
        <f t="shared" si="42"/>
        <v>-1.6045780127363227</v>
      </c>
      <c r="CB30" s="542">
        <v>683</v>
      </c>
      <c r="CC30" s="380">
        <f t="shared" si="43"/>
        <v>-7.234140820387374</v>
      </c>
      <c r="CD30" s="381">
        <f t="shared" si="44"/>
        <v>-32.637947007596807</v>
      </c>
      <c r="CE30" s="903"/>
      <c r="CF30" s="904"/>
      <c r="CG30" s="905"/>
      <c r="CH30" s="903"/>
      <c r="CI30" s="904"/>
      <c r="CJ30" s="905"/>
      <c r="CK30" s="382"/>
      <c r="CL30" s="380">
        <v>0</v>
      </c>
      <c r="CM30" s="383">
        <f t="shared" si="49"/>
        <v>-1</v>
      </c>
      <c r="CO30" s="382"/>
    </row>
    <row r="31" spans="1:93" ht="16.2" customHeight="1" outlineLevel="1" x14ac:dyDescent="0.4">
      <c r="A31" s="156">
        <f t="shared" si="50"/>
        <v>30</v>
      </c>
      <c r="B31" s="112" t="s">
        <v>175</v>
      </c>
      <c r="C31" s="113" t="s">
        <v>176</v>
      </c>
      <c r="D31" s="756">
        <v>29.452000000000002</v>
      </c>
      <c r="E31" s="757">
        <v>36.743000000000002</v>
      </c>
      <c r="F31" s="757">
        <v>49.982999999999997</v>
      </c>
      <c r="G31" s="378">
        <v>54.643999999999998</v>
      </c>
      <c r="H31" s="379">
        <v>58.978999999999999</v>
      </c>
      <c r="I31" s="380">
        <f t="shared" si="79"/>
        <v>7.933167410877684E-2</v>
      </c>
      <c r="J31" s="381">
        <f t="shared" si="1"/>
        <v>1.0025465163656118</v>
      </c>
      <c r="K31" s="382">
        <v>76.563000000000002</v>
      </c>
      <c r="L31" s="380">
        <f>K31/H31-1</f>
        <v>0.2981400159378762</v>
      </c>
      <c r="M31" s="381">
        <f t="shared" si="3"/>
        <v>1.083743842364532</v>
      </c>
      <c r="N31" s="382">
        <v>56.276000000000003</v>
      </c>
      <c r="O31" s="380">
        <f>N31/K31-1</f>
        <v>-0.26497133079947233</v>
      </c>
      <c r="P31" s="381">
        <f t="shared" si="5"/>
        <v>0.12590280695436462</v>
      </c>
      <c r="Q31" s="382">
        <v>-11.433</v>
      </c>
      <c r="R31" s="380">
        <f>Q31/N31-1</f>
        <v>-1.2031594285308125</v>
      </c>
      <c r="S31" s="383">
        <f t="shared" si="7"/>
        <v>-1.209226996559549</v>
      </c>
      <c r="T31" s="379">
        <v>39.454000000000001</v>
      </c>
      <c r="U31" s="380">
        <f t="shared" si="81"/>
        <v>-4.4508877809848686</v>
      </c>
      <c r="V31" s="381">
        <f t="shared" si="9"/>
        <v>-0.33105003475813422</v>
      </c>
      <c r="W31" s="382">
        <v>36.473999999999997</v>
      </c>
      <c r="X31" s="380">
        <f t="shared" si="82"/>
        <v>-7.5530998124398119E-2</v>
      </c>
      <c r="Y31" s="381">
        <f t="shared" si="11"/>
        <v>-0.52360800909055294</v>
      </c>
      <c r="Z31" s="382">
        <v>35.292999999999999</v>
      </c>
      <c r="AA31" s="380">
        <f t="shared" si="83"/>
        <v>-3.2379229039863899E-2</v>
      </c>
      <c r="AB31" s="381">
        <f t="shared" si="13"/>
        <v>-0.37285876750302083</v>
      </c>
      <c r="AC31" s="382">
        <v>31.800999999999998</v>
      </c>
      <c r="AD31" s="380">
        <f t="shared" si="84"/>
        <v>-9.8943133199217992E-2</v>
      </c>
      <c r="AE31" s="383">
        <f t="shared" si="15"/>
        <v>-3.7815096650048106</v>
      </c>
      <c r="AF31" s="379">
        <v>58.715000000000003</v>
      </c>
      <c r="AG31" s="380">
        <f t="shared" si="85"/>
        <v>0.8463255872456843</v>
      </c>
      <c r="AH31" s="381">
        <f t="shared" si="17"/>
        <v>0.48818877680336592</v>
      </c>
      <c r="AI31" s="382">
        <v>130.05199999999999</v>
      </c>
      <c r="AJ31" s="380">
        <f t="shared" si="86"/>
        <v>1.2149706207953672</v>
      </c>
      <c r="AK31" s="381">
        <f t="shared" si="19"/>
        <v>2.5656083785710369</v>
      </c>
      <c r="AL31" s="382">
        <v>86.716999999999999</v>
      </c>
      <c r="AM31" s="380">
        <f t="shared" si="87"/>
        <v>-0.33321286869867439</v>
      </c>
      <c r="AN31" s="381">
        <f t="shared" si="21"/>
        <v>1.4570594735499958</v>
      </c>
      <c r="AO31" s="382">
        <v>53.796999999999997</v>
      </c>
      <c r="AP31" s="380">
        <f t="shared" si="104"/>
        <v>-0.37962567893261989</v>
      </c>
      <c r="AQ31" s="383">
        <f t="shared" si="23"/>
        <v>0.69167636237854158</v>
      </c>
      <c r="AR31" s="379">
        <v>57.457999999999998</v>
      </c>
      <c r="AS31" s="380">
        <f t="shared" si="105"/>
        <v>6.8052121865531667E-2</v>
      </c>
      <c r="AT31" s="381">
        <f t="shared" si="25"/>
        <v>-2.140849868006478E-2</v>
      </c>
      <c r="AU31" s="382">
        <v>33.599285999999992</v>
      </c>
      <c r="AV31" s="380">
        <f t="shared" si="88"/>
        <v>-0.41523746040586185</v>
      </c>
      <c r="AW31" s="381">
        <f t="shared" si="27"/>
        <v>-0.7416472949281826</v>
      </c>
      <c r="AX31" s="382">
        <v>93.052616999999998</v>
      </c>
      <c r="AY31" s="380">
        <f t="shared" si="89"/>
        <v>1.7694819764920009</v>
      </c>
      <c r="AZ31" s="381">
        <f t="shared" si="29"/>
        <v>7.3060841588154624E-2</v>
      </c>
      <c r="BA31" s="382">
        <v>45.360546999999997</v>
      </c>
      <c r="BB31" s="380">
        <f t="shared" si="90"/>
        <v>-0.51252798188362614</v>
      </c>
      <c r="BC31" s="383">
        <f t="shared" si="31"/>
        <v>-0.15682013866944255</v>
      </c>
      <c r="BD31" s="379">
        <v>52.9771</v>
      </c>
      <c r="BE31" s="380">
        <f t="shared" si="91"/>
        <v>0.44182837547287912</v>
      </c>
      <c r="BF31" s="381">
        <f t="shared" ref="BF31" si="132">IFERROR(BD31/#REF!-1,)</f>
        <v>0</v>
      </c>
      <c r="BG31" s="382">
        <v>52.276432999999997</v>
      </c>
      <c r="BH31" s="380">
        <f t="shared" si="93"/>
        <v>-1.3225846639397076E-2</v>
      </c>
      <c r="BI31" s="381">
        <f t="shared" ref="BI31" si="133">IFERROR(BG31/#REF!-1,)</f>
        <v>0</v>
      </c>
      <c r="BJ31" s="382">
        <v>67.488316999999995</v>
      </c>
      <c r="BK31" s="380">
        <f t="shared" si="95"/>
        <v>0.2909893259167089</v>
      </c>
      <c r="BL31" s="381">
        <f t="shared" si="54"/>
        <v>0</v>
      </c>
      <c r="BM31" s="382">
        <v>36.130000000000003</v>
      </c>
      <c r="BN31" s="380">
        <f t="shared" si="96"/>
        <v>-0.46464808123752732</v>
      </c>
      <c r="BO31" s="383">
        <f t="shared" si="55"/>
        <v>-1.6683449908826198E-2</v>
      </c>
      <c r="BP31" s="379">
        <v>33.728000000000002</v>
      </c>
      <c r="BQ31" s="380">
        <f t="shared" si="35"/>
        <v>-6.6482147799612479E-2</v>
      </c>
      <c r="BR31" s="381">
        <f t="shared" si="36"/>
        <v>-0.36334755960594289</v>
      </c>
      <c r="BS31" s="382">
        <v>51.594000000000001</v>
      </c>
      <c r="BT31" s="380">
        <f>BS31/BP31-1</f>
        <v>0.52970825426944979</v>
      </c>
      <c r="BU31" s="381">
        <f t="shared" si="38"/>
        <v>-1.3054314551262491E-2</v>
      </c>
      <c r="BV31" s="382">
        <v>38.889000000000003</v>
      </c>
      <c r="BW31" s="380">
        <f>BV31/BS31-1</f>
        <v>-0.2462495639027793</v>
      </c>
      <c r="BX31" s="381">
        <f t="shared" si="40"/>
        <v>-0.42376693139347354</v>
      </c>
      <c r="BY31" s="382">
        <v>69.263000000000005</v>
      </c>
      <c r="BZ31" s="380">
        <f>BY31/BV31-1</f>
        <v>0.78104348273290647</v>
      </c>
      <c r="CA31" s="383">
        <f t="shared" si="42"/>
        <v>0.91704954331580413</v>
      </c>
      <c r="CB31" s="379">
        <v>47</v>
      </c>
      <c r="CC31" s="380">
        <f t="shared" si="43"/>
        <v>-0.32142702452969119</v>
      </c>
      <c r="CD31" s="381">
        <f t="shared" si="44"/>
        <v>0.39350094876660324</v>
      </c>
      <c r="CE31" s="903"/>
      <c r="CF31" s="904"/>
      <c r="CG31" s="905"/>
      <c r="CH31" s="903"/>
      <c r="CI31" s="904"/>
      <c r="CJ31" s="905"/>
      <c r="CK31" s="382"/>
      <c r="CL31" s="380" t="e">
        <f>CK31/CH31-1</f>
        <v>#DIV/0!</v>
      </c>
      <c r="CM31" s="383">
        <f t="shared" si="49"/>
        <v>-1</v>
      </c>
      <c r="CO31" s="382"/>
    </row>
    <row r="32" spans="1:93" s="7" customFormat="1" ht="16.2" customHeight="1" outlineLevel="1" x14ac:dyDescent="0.4">
      <c r="A32" s="156">
        <f t="shared" si="50"/>
        <v>31</v>
      </c>
      <c r="B32" s="112" t="s">
        <v>178</v>
      </c>
      <c r="C32" s="113" t="s">
        <v>68</v>
      </c>
      <c r="D32" s="756">
        <v>87.614999999999995</v>
      </c>
      <c r="E32" s="757">
        <v>28.887</v>
      </c>
      <c r="F32" s="757">
        <v>137.23400000000001</v>
      </c>
      <c r="G32" s="378">
        <v>292.13799999999998</v>
      </c>
      <c r="H32" s="379">
        <v>137.71100000000001</v>
      </c>
      <c r="I32" s="380">
        <f t="shared" si="79"/>
        <v>-0.52860976661714654</v>
      </c>
      <c r="J32" s="381">
        <f t="shared" si="1"/>
        <v>0.57177423957085005</v>
      </c>
      <c r="K32" s="382">
        <v>228.518</v>
      </c>
      <c r="L32" s="380">
        <f>K32/H32-1</f>
        <v>0.65940266209670972</v>
      </c>
      <c r="M32" s="381">
        <f t="shared" si="3"/>
        <v>6.9107557032575206</v>
      </c>
      <c r="N32" s="382">
        <v>187.858</v>
      </c>
      <c r="O32" s="380">
        <f>N32/K32-1</f>
        <v>-0.17792909092500375</v>
      </c>
      <c r="P32" s="381">
        <f t="shared" si="5"/>
        <v>0.3688881763994345</v>
      </c>
      <c r="Q32" s="382">
        <v>117.76</v>
      </c>
      <c r="R32" s="380">
        <f>Q32/N32-1</f>
        <v>-0.37314354459219201</v>
      </c>
      <c r="S32" s="383">
        <f t="shared" si="7"/>
        <v>-0.59690283359234331</v>
      </c>
      <c r="T32" s="379">
        <v>71.923000000000002</v>
      </c>
      <c r="U32" s="380">
        <f t="shared" si="81"/>
        <v>-0.38924082880434785</v>
      </c>
      <c r="V32" s="381">
        <f t="shared" si="9"/>
        <v>-0.47772509095134019</v>
      </c>
      <c r="W32" s="382">
        <v>-26.393999999999998</v>
      </c>
      <c r="X32" s="380">
        <f t="shared" si="82"/>
        <v>-1.3669757935569984</v>
      </c>
      <c r="Y32" s="381">
        <f t="shared" si="11"/>
        <v>-1.1155007482999151</v>
      </c>
      <c r="Z32" s="382">
        <v>22.715</v>
      </c>
      <c r="AA32" s="380">
        <f t="shared" si="83"/>
        <v>-1.8606122603622035</v>
      </c>
      <c r="AB32" s="381">
        <f t="shared" si="13"/>
        <v>-0.87908420189717762</v>
      </c>
      <c r="AC32" s="382">
        <v>30.68</v>
      </c>
      <c r="AD32" s="380">
        <f t="shared" si="84"/>
        <v>0.35064935064935066</v>
      </c>
      <c r="AE32" s="383">
        <f t="shared" si="15"/>
        <v>-0.73947010869565211</v>
      </c>
      <c r="AF32" s="379">
        <v>80.766000000000005</v>
      </c>
      <c r="AG32" s="380">
        <f t="shared" si="85"/>
        <v>1.6325293350717081</v>
      </c>
      <c r="AH32" s="381">
        <f t="shared" si="17"/>
        <v>0.1229509336373622</v>
      </c>
      <c r="AI32" s="382">
        <v>39.21</v>
      </c>
      <c r="AJ32" s="380">
        <f t="shared" si="86"/>
        <v>-0.51452343808038037</v>
      </c>
      <c r="AK32" s="381">
        <f t="shared" si="19"/>
        <v>-2.4855649011138894</v>
      </c>
      <c r="AL32" s="382">
        <v>42.076999999999998</v>
      </c>
      <c r="AM32" s="380">
        <f t="shared" si="87"/>
        <v>7.3119102269828984E-2</v>
      </c>
      <c r="AN32" s="381">
        <f t="shared" si="21"/>
        <v>0.85238828967642521</v>
      </c>
      <c r="AO32" s="382">
        <v>144.911</v>
      </c>
      <c r="AP32" s="380">
        <f t="shared" si="104"/>
        <v>2.4439480000950642</v>
      </c>
      <c r="AQ32" s="383">
        <f t="shared" si="23"/>
        <v>3.7233050847457632</v>
      </c>
      <c r="AR32" s="379">
        <v>133.68199999999999</v>
      </c>
      <c r="AS32" s="380">
        <f t="shared" si="105"/>
        <v>-7.7488941488223939E-2</v>
      </c>
      <c r="AT32" s="381">
        <f t="shared" si="25"/>
        <v>0.65517668325780631</v>
      </c>
      <c r="AU32" s="382">
        <v>109.68913000000001</v>
      </c>
      <c r="AV32" s="380">
        <f t="shared" si="88"/>
        <v>-0.17947719214254709</v>
      </c>
      <c r="AW32" s="381">
        <f t="shared" si="27"/>
        <v>1.7974784493751597</v>
      </c>
      <c r="AX32" s="382">
        <v>105.90593200000001</v>
      </c>
      <c r="AY32" s="380">
        <f t="shared" si="89"/>
        <v>-3.4490181479240434E-2</v>
      </c>
      <c r="AZ32" s="381">
        <f t="shared" si="29"/>
        <v>1.5169553913064147</v>
      </c>
      <c r="BA32" s="382">
        <v>395.921401</v>
      </c>
      <c r="BB32" s="380">
        <f t="shared" si="90"/>
        <v>2.7384251620579665</v>
      </c>
      <c r="BC32" s="383">
        <f t="shared" si="31"/>
        <v>1.7321694074293879</v>
      </c>
      <c r="BD32" s="379">
        <v>379.64014199999997</v>
      </c>
      <c r="BE32" s="380">
        <f t="shared" si="91"/>
        <v>12.142248831654376</v>
      </c>
      <c r="BF32" s="381">
        <f t="shared" ref="BF32" si="134">IFERROR(BD32/#REF!-1,)</f>
        <v>0</v>
      </c>
      <c r="BG32" s="382">
        <v>302.40014600000001</v>
      </c>
      <c r="BH32" s="380">
        <f t="shared" si="93"/>
        <v>-0.20345581895815423</v>
      </c>
      <c r="BI32" s="381">
        <f t="shared" ref="BI32" si="135">IFERROR(BG32/#REF!-1,)</f>
        <v>0</v>
      </c>
      <c r="BJ32" s="382">
        <v>248.01011799999998</v>
      </c>
      <c r="BK32" s="380">
        <f t="shared" si="95"/>
        <v>-0.17986111686599526</v>
      </c>
      <c r="BL32" s="381">
        <f t="shared" si="54"/>
        <v>0</v>
      </c>
      <c r="BM32" s="382">
        <v>472.77800000000002</v>
      </c>
      <c r="BN32" s="380">
        <f t="shared" si="96"/>
        <v>0.90628512986716148</v>
      </c>
      <c r="BO32" s="383">
        <f t="shared" si="55"/>
        <v>15.366462422543012</v>
      </c>
      <c r="BP32" s="379">
        <v>713.29899999999998</v>
      </c>
      <c r="BQ32" s="380">
        <f t="shared" ref="BQ32" si="136">BP32/BM32-1</f>
        <v>0.50873983137963252</v>
      </c>
      <c r="BR32" s="381">
        <f t="shared" ref="BR32:BR36" si="137">IFERROR(BP32/BD32-1,)</f>
        <v>0.87888192287105404</v>
      </c>
      <c r="BS32" s="382">
        <v>428.98899999999998</v>
      </c>
      <c r="BT32" s="380">
        <f>BS32/BP32-1</f>
        <v>-0.39858460477303348</v>
      </c>
      <c r="BU32" s="381">
        <f t="shared" si="38"/>
        <v>0.4186137330767028</v>
      </c>
      <c r="BV32" s="382">
        <v>492.84800000000001</v>
      </c>
      <c r="BW32" s="380">
        <f>BV32/BS32-1</f>
        <v>0.14885929476047188</v>
      </c>
      <c r="BX32" s="381">
        <f t="shared" si="40"/>
        <v>0.98720924764851747</v>
      </c>
      <c r="BY32" s="382">
        <v>335.04</v>
      </c>
      <c r="BZ32" s="380">
        <f>BY32/BV32-1</f>
        <v>-0.32019608479693529</v>
      </c>
      <c r="CA32" s="383">
        <f t="shared" si="42"/>
        <v>-0.29133758339009008</v>
      </c>
      <c r="CB32" s="379">
        <v>324</v>
      </c>
      <c r="CC32" s="380">
        <f t="shared" si="43"/>
        <v>-3.2951289398280847E-2</v>
      </c>
      <c r="CD32" s="381">
        <f t="shared" si="44"/>
        <v>-0.54577253017318128</v>
      </c>
      <c r="CE32" s="903"/>
      <c r="CF32" s="904"/>
      <c r="CG32" s="905"/>
      <c r="CH32" s="903"/>
      <c r="CI32" s="904"/>
      <c r="CJ32" s="905"/>
      <c r="CK32" s="382"/>
      <c r="CL32" s="380" t="e">
        <f>CK32/CH32-1</f>
        <v>#DIV/0!</v>
      </c>
      <c r="CM32" s="383">
        <f t="shared" si="49"/>
        <v>-1</v>
      </c>
      <c r="CO32" s="382"/>
    </row>
    <row r="33" spans="1:93" s="7" customFormat="1" ht="16.2" customHeight="1" outlineLevel="1" x14ac:dyDescent="0.4">
      <c r="A33" s="156">
        <f t="shared" si="50"/>
        <v>32</v>
      </c>
      <c r="B33" s="112" t="s">
        <v>240</v>
      </c>
      <c r="C33" s="113" t="s">
        <v>263</v>
      </c>
      <c r="D33" s="756"/>
      <c r="E33" s="757"/>
      <c r="F33" s="757"/>
      <c r="G33" s="378"/>
      <c r="H33" s="379"/>
      <c r="I33" s="380"/>
      <c r="J33" s="381"/>
      <c r="K33" s="382"/>
      <c r="L33" s="380"/>
      <c r="M33" s="381"/>
      <c r="N33" s="382"/>
      <c r="O33" s="380"/>
      <c r="P33" s="381"/>
      <c r="Q33" s="382"/>
      <c r="R33" s="380"/>
      <c r="S33" s="383"/>
      <c r="T33" s="379"/>
      <c r="U33" s="380"/>
      <c r="V33" s="381"/>
      <c r="W33" s="382"/>
      <c r="X33" s="380"/>
      <c r="Y33" s="381"/>
      <c r="Z33" s="382"/>
      <c r="AA33" s="380"/>
      <c r="AB33" s="381"/>
      <c r="AC33" s="382"/>
      <c r="AD33" s="380"/>
      <c r="AE33" s="383"/>
      <c r="AF33" s="379"/>
      <c r="AG33" s="380"/>
      <c r="AH33" s="381"/>
      <c r="AI33" s="382"/>
      <c r="AJ33" s="380"/>
      <c r="AK33" s="381"/>
      <c r="AL33" s="382"/>
      <c r="AM33" s="380"/>
      <c r="AN33" s="381"/>
      <c r="AO33" s="382"/>
      <c r="AP33" s="380"/>
      <c r="AQ33" s="383"/>
      <c r="AR33" s="379"/>
      <c r="AS33" s="380"/>
      <c r="AT33" s="381"/>
      <c r="AU33" s="382"/>
      <c r="AV33" s="380"/>
      <c r="AW33" s="381"/>
      <c r="AX33" s="382"/>
      <c r="AY33" s="380"/>
      <c r="AZ33" s="381"/>
      <c r="BA33" s="382"/>
      <c r="BB33" s="380"/>
      <c r="BC33" s="383"/>
      <c r="BD33" s="379">
        <v>0</v>
      </c>
      <c r="BE33" s="380">
        <v>0</v>
      </c>
      <c r="BF33" s="381">
        <v>0</v>
      </c>
      <c r="BG33" s="382">
        <v>0</v>
      </c>
      <c r="BH33" s="380">
        <v>0</v>
      </c>
      <c r="BI33" s="381">
        <v>0</v>
      </c>
      <c r="BJ33" s="382">
        <v>0</v>
      </c>
      <c r="BK33" s="380">
        <v>0</v>
      </c>
      <c r="BL33" s="381">
        <v>0</v>
      </c>
      <c r="BM33" s="382">
        <v>0</v>
      </c>
      <c r="BN33" s="380">
        <v>0</v>
      </c>
      <c r="BO33" s="383">
        <v>0</v>
      </c>
      <c r="BP33" s="379">
        <v>0</v>
      </c>
      <c r="BQ33" s="380">
        <v>0</v>
      </c>
      <c r="BR33" s="381">
        <f t="shared" si="137"/>
        <v>0</v>
      </c>
      <c r="BS33" s="382">
        <v>58.679000000000002</v>
      </c>
      <c r="BT33" s="380">
        <v>0</v>
      </c>
      <c r="BU33" s="381"/>
      <c r="BV33" s="382">
        <v>92.209000000000003</v>
      </c>
      <c r="BW33" s="380">
        <f>BV33/BS33-1</f>
        <v>0.57141396410981793</v>
      </c>
      <c r="BX33" s="381">
        <f t="shared" si="40"/>
        <v>0</v>
      </c>
      <c r="BY33" s="382">
        <v>113.511</v>
      </c>
      <c r="BZ33" s="380">
        <f>BY33/BV33-1</f>
        <v>0.23101866412172334</v>
      </c>
      <c r="CA33" s="383">
        <f t="shared" si="42"/>
        <v>0</v>
      </c>
      <c r="CB33" s="379">
        <v>89</v>
      </c>
      <c r="CC33" s="380">
        <f t="shared" si="43"/>
        <v>-0.21593501951352734</v>
      </c>
      <c r="CD33" s="381">
        <f t="shared" si="44"/>
        <v>0</v>
      </c>
      <c r="CE33" s="903"/>
      <c r="CF33" s="904"/>
      <c r="CG33" s="905"/>
      <c r="CH33" s="903"/>
      <c r="CI33" s="904"/>
      <c r="CJ33" s="905"/>
      <c r="CK33" s="382"/>
      <c r="CL33" s="380"/>
      <c r="CM33" s="383"/>
      <c r="CO33" s="382"/>
    </row>
    <row r="34" spans="1:93" s="7" customFormat="1" ht="16.2" customHeight="1" outlineLevel="1" x14ac:dyDescent="0.4">
      <c r="A34" s="156">
        <f t="shared" si="50"/>
        <v>33</v>
      </c>
      <c r="B34" s="112" t="s">
        <v>58</v>
      </c>
      <c r="C34" s="113" t="s">
        <v>425</v>
      </c>
      <c r="D34" s="756" t="s">
        <v>3</v>
      </c>
      <c r="E34" s="757" t="s">
        <v>3</v>
      </c>
      <c r="F34" s="757" t="s">
        <v>3</v>
      </c>
      <c r="G34" s="378" t="s">
        <v>3</v>
      </c>
      <c r="H34" s="379" t="s">
        <v>3</v>
      </c>
      <c r="I34" s="380" t="s">
        <v>3</v>
      </c>
      <c r="J34" s="381">
        <f>IFERROR(H34/D34-1,)</f>
        <v>0</v>
      </c>
      <c r="K34" s="382" t="s">
        <v>3</v>
      </c>
      <c r="L34" s="380" t="s">
        <v>3</v>
      </c>
      <c r="M34" s="381">
        <f>IFERROR(K34/E34-1,)</f>
        <v>0</v>
      </c>
      <c r="N34" s="382" t="s">
        <v>3</v>
      </c>
      <c r="O34" s="380" t="s">
        <v>3</v>
      </c>
      <c r="P34" s="381">
        <f>IFERROR(N34/F34-1,)</f>
        <v>0</v>
      </c>
      <c r="Q34" s="382" t="s">
        <v>3</v>
      </c>
      <c r="R34" s="380" t="s">
        <v>3</v>
      </c>
      <c r="S34" s="383">
        <f>IFERROR(Q34/G34-1,)</f>
        <v>0</v>
      </c>
      <c r="T34" s="379" t="s">
        <v>3</v>
      </c>
      <c r="U34" s="380" t="s">
        <v>3</v>
      </c>
      <c r="V34" s="381">
        <f>IFERROR(T34/H34-1,)</f>
        <v>0</v>
      </c>
      <c r="W34" s="382" t="s">
        <v>3</v>
      </c>
      <c r="X34" s="380" t="s">
        <v>3</v>
      </c>
      <c r="Y34" s="381">
        <f>IFERROR(W34/K34-1,)</f>
        <v>0</v>
      </c>
      <c r="Z34" s="382" t="s">
        <v>3</v>
      </c>
      <c r="AA34" s="380" t="s">
        <v>3</v>
      </c>
      <c r="AB34" s="381">
        <f>IFERROR(Z34/N34-1,)</f>
        <v>0</v>
      </c>
      <c r="AC34" s="382" t="s">
        <v>3</v>
      </c>
      <c r="AD34" s="380" t="s">
        <v>3</v>
      </c>
      <c r="AE34" s="383">
        <f>IFERROR(AC34/Q34-1,)</f>
        <v>0</v>
      </c>
      <c r="AF34" s="379" t="s">
        <v>3</v>
      </c>
      <c r="AG34" s="380" t="s">
        <v>3</v>
      </c>
      <c r="AH34" s="381">
        <f>IFERROR(AF34/T34-1,)</f>
        <v>0</v>
      </c>
      <c r="AI34" s="382" t="s">
        <v>3</v>
      </c>
      <c r="AJ34" s="380" t="s">
        <v>3</v>
      </c>
      <c r="AK34" s="381">
        <f>IFERROR(AI34/W34-1,)</f>
        <v>0</v>
      </c>
      <c r="AL34" s="382" t="s">
        <v>3</v>
      </c>
      <c r="AM34" s="380" t="s">
        <v>3</v>
      </c>
      <c r="AN34" s="381">
        <f>IFERROR(AL34/Z34-1,)</f>
        <v>0</v>
      </c>
      <c r="AO34" s="382" t="s">
        <v>3</v>
      </c>
      <c r="AP34" s="380" t="s">
        <v>3</v>
      </c>
      <c r="AQ34" s="383">
        <f>IFERROR(AO34/AC34-1,)</f>
        <v>0</v>
      </c>
      <c r="AR34" s="379">
        <v>0</v>
      </c>
      <c r="AS34" s="380" t="s">
        <v>3</v>
      </c>
      <c r="AT34" s="381">
        <f>IFERROR(AR34/AF34-1,)</f>
        <v>0</v>
      </c>
      <c r="AU34" s="382">
        <v>0</v>
      </c>
      <c r="AV34" s="380" t="s">
        <v>3</v>
      </c>
      <c r="AW34" s="381">
        <f>IFERROR(AU34/AI34-1,)</f>
        <v>0</v>
      </c>
      <c r="AX34" s="382">
        <v>0</v>
      </c>
      <c r="AY34" s="380" t="s">
        <v>3</v>
      </c>
      <c r="AZ34" s="381">
        <f>IFERROR(AX34/AL34-1,)</f>
        <v>0</v>
      </c>
      <c r="BA34" s="382">
        <v>0</v>
      </c>
      <c r="BB34" s="380" t="s">
        <v>3</v>
      </c>
      <c r="BC34" s="383">
        <f>IFERROR(BA34/AO34-1,)</f>
        <v>0</v>
      </c>
      <c r="BD34" s="379">
        <v>4.2447929999999996</v>
      </c>
      <c r="BE34" s="380">
        <v>0</v>
      </c>
      <c r="BF34" s="381">
        <f t="shared" ref="BF34" si="138">IFERROR(BD34/#REF!-1,)</f>
        <v>0</v>
      </c>
      <c r="BG34" s="382">
        <v>7.1678649999999999</v>
      </c>
      <c r="BH34" s="380">
        <v>0</v>
      </c>
      <c r="BI34" s="381">
        <f t="shared" ref="BI34" si="139">IFERROR(BG34/#REF!-1,)</f>
        <v>0</v>
      </c>
      <c r="BJ34" s="382">
        <v>10.040430000000001</v>
      </c>
      <c r="BK34" s="380">
        <v>0</v>
      </c>
      <c r="BL34" s="381">
        <f>IFERROR(BJ34/B34-1,)</f>
        <v>0</v>
      </c>
      <c r="BM34" s="382">
        <v>10.085000000000001</v>
      </c>
      <c r="BN34" s="380">
        <v>0</v>
      </c>
      <c r="BO34" s="383">
        <f>IFERROR(BM34/E34-1,)</f>
        <v>0</v>
      </c>
      <c r="BP34" s="379">
        <v>16.366</v>
      </c>
      <c r="BQ34" s="380">
        <f>BP34/BM34-1</f>
        <v>0.62280614774417442</v>
      </c>
      <c r="BR34" s="381">
        <f>IFERROR(BP34/BD34-1,)</f>
        <v>2.8555472551900651</v>
      </c>
      <c r="BS34" s="382">
        <v>18.577000000000002</v>
      </c>
      <c r="BT34" s="380">
        <v>0</v>
      </c>
      <c r="BU34" s="381">
        <f>IFERROR(BS34/BG34-1,)</f>
        <v>1.5917061775019481</v>
      </c>
      <c r="BV34" s="382">
        <v>13.849</v>
      </c>
      <c r="BW34" s="380">
        <v>0</v>
      </c>
      <c r="BX34" s="381">
        <f>IFERROR(BV34/BJ34-1,)</f>
        <v>0.37932339551194505</v>
      </c>
      <c r="BY34" s="382">
        <v>12.119</v>
      </c>
      <c r="BZ34" s="380">
        <v>0</v>
      </c>
      <c r="CA34" s="383">
        <f>IFERROR(BY34/BM34-1,)</f>
        <v>0.20168567178978658</v>
      </c>
      <c r="CB34" s="379">
        <v>0</v>
      </c>
      <c r="CC34" s="380">
        <v>0</v>
      </c>
      <c r="CD34" s="381">
        <f>IFERROR(CB34/BP34-1,)</f>
        <v>-1</v>
      </c>
      <c r="CE34" s="903"/>
      <c r="CF34" s="904"/>
      <c r="CG34" s="905"/>
      <c r="CH34" s="903"/>
      <c r="CI34" s="904"/>
      <c r="CJ34" s="905"/>
      <c r="CK34" s="382"/>
      <c r="CL34" s="380" t="s">
        <v>3</v>
      </c>
      <c r="CM34" s="383">
        <f>IFERROR(CK34/BY34-1,)</f>
        <v>-1</v>
      </c>
      <c r="CN34" s="569"/>
      <c r="CO34" s="382"/>
    </row>
    <row r="35" spans="1:93" ht="16.2" customHeight="1" outlineLevel="1" x14ac:dyDescent="0.4">
      <c r="A35" s="156">
        <f t="shared" si="50"/>
        <v>34</v>
      </c>
      <c r="B35" s="112" t="s">
        <v>47</v>
      </c>
      <c r="C35" s="113" t="s">
        <v>292</v>
      </c>
      <c r="D35" s="756">
        <v>1.0960000000000001</v>
      </c>
      <c r="E35" s="757">
        <v>2.9609999999999999</v>
      </c>
      <c r="F35" s="757">
        <v>2.762</v>
      </c>
      <c r="G35" s="378">
        <v>0</v>
      </c>
      <c r="H35" s="379">
        <v>2.15</v>
      </c>
      <c r="I35" s="380" t="s">
        <v>3</v>
      </c>
      <c r="J35" s="381">
        <f t="shared" si="1"/>
        <v>0.96167883211678817</v>
      </c>
      <c r="K35" s="382">
        <v>0.33</v>
      </c>
      <c r="L35" s="380" t="s">
        <v>3</v>
      </c>
      <c r="M35" s="381">
        <f t="shared" si="3"/>
        <v>-0.88855116514690979</v>
      </c>
      <c r="N35" s="382">
        <v>0</v>
      </c>
      <c r="O35" s="380" t="s">
        <v>3</v>
      </c>
      <c r="P35" s="381">
        <f t="shared" si="5"/>
        <v>-1</v>
      </c>
      <c r="Q35" s="382">
        <v>0.1</v>
      </c>
      <c r="R35" s="380" t="s">
        <v>3</v>
      </c>
      <c r="S35" s="383">
        <f t="shared" si="7"/>
        <v>0</v>
      </c>
      <c r="T35" s="379" t="s">
        <v>3</v>
      </c>
      <c r="U35" s="380" t="s">
        <v>3</v>
      </c>
      <c r="V35" s="381">
        <f t="shared" si="9"/>
        <v>0</v>
      </c>
      <c r="W35" s="382">
        <v>0</v>
      </c>
      <c r="X35" s="380" t="s">
        <v>3</v>
      </c>
      <c r="Y35" s="381">
        <f t="shared" si="11"/>
        <v>-1</v>
      </c>
      <c r="Z35" s="382">
        <v>0.06</v>
      </c>
      <c r="AA35" s="380" t="s">
        <v>3</v>
      </c>
      <c r="AB35" s="381">
        <f t="shared" si="13"/>
        <v>0</v>
      </c>
      <c r="AC35" s="382">
        <v>0</v>
      </c>
      <c r="AD35" s="380" t="s">
        <v>3</v>
      </c>
      <c r="AE35" s="383">
        <f t="shared" si="15"/>
        <v>-1</v>
      </c>
      <c r="AF35" s="379">
        <v>0</v>
      </c>
      <c r="AG35" s="380" t="s">
        <v>3</v>
      </c>
      <c r="AH35" s="381">
        <f t="shared" si="17"/>
        <v>0</v>
      </c>
      <c r="AI35" s="382">
        <v>0</v>
      </c>
      <c r="AJ35" s="380" t="s">
        <v>3</v>
      </c>
      <c r="AK35" s="381">
        <f t="shared" si="19"/>
        <v>0</v>
      </c>
      <c r="AL35" s="382">
        <v>3.5390000000000001</v>
      </c>
      <c r="AM35" s="380" t="s">
        <v>3</v>
      </c>
      <c r="AN35" s="381">
        <f t="shared" si="21"/>
        <v>57.983333333333341</v>
      </c>
      <c r="AO35" s="382">
        <v>10.510999999999999</v>
      </c>
      <c r="AP35" s="380">
        <f t="shared" si="104"/>
        <v>1.970048036168409</v>
      </c>
      <c r="AQ35" s="383">
        <f t="shared" si="23"/>
        <v>0</v>
      </c>
      <c r="AR35" s="379">
        <v>2.2970000000000002</v>
      </c>
      <c r="AS35" s="380" t="s">
        <v>3</v>
      </c>
      <c r="AT35" s="381">
        <f t="shared" si="25"/>
        <v>0</v>
      </c>
      <c r="AU35" s="382">
        <v>0</v>
      </c>
      <c r="AV35" s="380" t="s">
        <v>3</v>
      </c>
      <c r="AW35" s="381">
        <f t="shared" si="27"/>
        <v>0</v>
      </c>
      <c r="AX35" s="382">
        <v>0</v>
      </c>
      <c r="AY35" s="380" t="s">
        <v>3</v>
      </c>
      <c r="AZ35" s="381">
        <f t="shared" si="29"/>
        <v>-1</v>
      </c>
      <c r="BA35" s="382">
        <v>0</v>
      </c>
      <c r="BB35" s="380" t="s">
        <v>3</v>
      </c>
      <c r="BC35" s="383">
        <f t="shared" si="31"/>
        <v>-1</v>
      </c>
      <c r="BD35" s="379">
        <v>1.76</v>
      </c>
      <c r="BE35" s="380">
        <v>0</v>
      </c>
      <c r="BF35" s="381">
        <f t="shared" ref="BF35" si="140">IFERROR(BD35/#REF!-1,)</f>
        <v>0</v>
      </c>
      <c r="BG35" s="382">
        <v>0</v>
      </c>
      <c r="BH35" s="380">
        <v>0</v>
      </c>
      <c r="BI35" s="381">
        <f t="shared" ref="BI35" si="141">IFERROR(BG35/#REF!-1,)</f>
        <v>0</v>
      </c>
      <c r="BJ35" s="382">
        <v>0</v>
      </c>
      <c r="BK35" s="380">
        <v>0</v>
      </c>
      <c r="BL35" s="381">
        <v>0</v>
      </c>
      <c r="BM35" s="382">
        <v>0</v>
      </c>
      <c r="BN35" s="380">
        <v>0</v>
      </c>
      <c r="BO35" s="383">
        <v>0</v>
      </c>
      <c r="BP35" s="379">
        <v>0</v>
      </c>
      <c r="BQ35" s="380">
        <v>0</v>
      </c>
      <c r="BR35" s="381">
        <f t="shared" si="137"/>
        <v>-1</v>
      </c>
      <c r="BS35" s="382">
        <v>0.6</v>
      </c>
      <c r="BT35" s="380">
        <v>0</v>
      </c>
      <c r="BU35" s="381">
        <v>0</v>
      </c>
      <c r="BV35" s="382">
        <v>0</v>
      </c>
      <c r="BW35" s="380">
        <v>0</v>
      </c>
      <c r="BX35" s="381">
        <v>0</v>
      </c>
      <c r="BY35" s="382">
        <v>0</v>
      </c>
      <c r="BZ35" s="380">
        <v>0</v>
      </c>
      <c r="CA35" s="383">
        <v>0</v>
      </c>
      <c r="CB35" s="379">
        <v>0</v>
      </c>
      <c r="CC35" s="380">
        <v>0</v>
      </c>
      <c r="CD35" s="381">
        <v>0</v>
      </c>
      <c r="CE35" s="903"/>
      <c r="CF35" s="904"/>
      <c r="CG35" s="905"/>
      <c r="CH35" s="903"/>
      <c r="CI35" s="904"/>
      <c r="CJ35" s="905"/>
      <c r="CK35" s="382"/>
      <c r="CL35" s="380" t="s">
        <v>3</v>
      </c>
      <c r="CM35" s="383">
        <f>IFERROR(CK35/BY35-1,)</f>
        <v>0</v>
      </c>
      <c r="CO35" s="382"/>
    </row>
    <row r="36" spans="1:93" s="7" customFormat="1" ht="16.2" customHeight="1" thickBot="1" x14ac:dyDescent="0.45">
      <c r="A36" s="156">
        <f t="shared" si="50"/>
        <v>35</v>
      </c>
      <c r="B36" s="114" t="s">
        <v>179</v>
      </c>
      <c r="C36" s="115" t="s">
        <v>7</v>
      </c>
      <c r="D36" s="782">
        <f>SUM(D3:D11)</f>
        <v>3760.3820000000001</v>
      </c>
      <c r="E36" s="783">
        <f>SUM(E3:E11)</f>
        <v>4232.9439999999995</v>
      </c>
      <c r="F36" s="783">
        <f>SUM(F3:F11)</f>
        <v>4415.6090000000004</v>
      </c>
      <c r="G36" s="784">
        <f>SUM(G3:G11)</f>
        <v>4862.1869999999999</v>
      </c>
      <c r="H36" s="384">
        <f>SUM(H3:H11)</f>
        <v>4830.2240000000002</v>
      </c>
      <c r="I36" s="385">
        <f>H36/G36-1</f>
        <v>-6.5737907653489192E-3</v>
      </c>
      <c r="J36" s="386">
        <f t="shared" si="1"/>
        <v>0.28450354245925014</v>
      </c>
      <c r="K36" s="387">
        <f>SUM(K3:K11)</f>
        <v>6707.0320000000002</v>
      </c>
      <c r="L36" s="385">
        <f>K36/H36-1</f>
        <v>0.3885550649410876</v>
      </c>
      <c r="M36" s="386">
        <f t="shared" si="3"/>
        <v>0.58448399033863918</v>
      </c>
      <c r="N36" s="387">
        <f>SUM(N3:N11)</f>
        <v>5285.7719999999999</v>
      </c>
      <c r="O36" s="385">
        <f>N36/K36-1</f>
        <v>-0.21190595184278238</v>
      </c>
      <c r="P36" s="386">
        <f t="shared" si="5"/>
        <v>0.19706522928094383</v>
      </c>
      <c r="Q36" s="387">
        <f>SUM(Q3:Q11)</f>
        <v>5372.558</v>
      </c>
      <c r="R36" s="385">
        <f>Q36/N36-1</f>
        <v>1.641879369749577E-2</v>
      </c>
      <c r="S36" s="388">
        <f t="shared" si="7"/>
        <v>0.10496737373531717</v>
      </c>
      <c r="T36" s="384">
        <f>SUM(T3:T11)</f>
        <v>4085.2219999999998</v>
      </c>
      <c r="U36" s="385">
        <f t="shared" ref="U36" si="142">T36/Q36-1</f>
        <v>-0.23961323451510441</v>
      </c>
      <c r="V36" s="386">
        <f t="shared" si="9"/>
        <v>-0.15423756745028805</v>
      </c>
      <c r="W36" s="387">
        <f>SUM(W3:W11)</f>
        <v>5035.0410000000002</v>
      </c>
      <c r="X36" s="385">
        <f t="shared" ref="X36" si="143">IFERROR(W36/T36-1,)</f>
        <v>0.23250119577344885</v>
      </c>
      <c r="Y36" s="386">
        <f t="shared" si="11"/>
        <v>-0.24928925342834207</v>
      </c>
      <c r="Z36" s="387">
        <f>SUM(Z3:Z11)</f>
        <v>4124.8319999999994</v>
      </c>
      <c r="AA36" s="385">
        <f t="shared" ref="AA36" si="144">Z36/W36-1</f>
        <v>-0.18077489339212938</v>
      </c>
      <c r="AB36" s="386">
        <f t="shared" si="13"/>
        <v>-0.21963489912164214</v>
      </c>
      <c r="AC36" s="387">
        <f>SUM(AC3:AC11)</f>
        <v>7105.5919999999987</v>
      </c>
      <c r="AD36" s="385">
        <f t="shared" ref="AD36" si="145">AC36/Z36-1</f>
        <v>0.72263791591996962</v>
      </c>
      <c r="AE36" s="388">
        <f t="shared" si="15"/>
        <v>0.32257148270898117</v>
      </c>
      <c r="AF36" s="384">
        <f>SUM(AF3:AF11)</f>
        <v>5831.9049999999997</v>
      </c>
      <c r="AG36" s="385">
        <f t="shared" ref="AG36" si="146">AF36/AC36-1</f>
        <v>-0.17925135583354623</v>
      </c>
      <c r="AH36" s="386">
        <f t="shared" si="17"/>
        <v>0.42756134183160666</v>
      </c>
      <c r="AI36" s="387">
        <f>SUM(AI3:AI11)</f>
        <v>6960.610999999999</v>
      </c>
      <c r="AJ36" s="385">
        <f t="shared" ref="AJ36" si="147">IFERROR(AI36/AF36-1,)</f>
        <v>0.19353984675676283</v>
      </c>
      <c r="AK36" s="386">
        <f t="shared" si="19"/>
        <v>0.38243382725185326</v>
      </c>
      <c r="AL36" s="387">
        <f>SUM(AL3:AL11)</f>
        <v>5832.5299999999988</v>
      </c>
      <c r="AM36" s="385">
        <f t="shared" ref="AM36" si="148">AL36/AI36-1</f>
        <v>-0.16206637606957208</v>
      </c>
      <c r="AN36" s="386">
        <f t="shared" si="21"/>
        <v>0.41400425520360584</v>
      </c>
      <c r="AO36" s="387">
        <f>SUM(AO3:AO11)</f>
        <v>7514.896999999999</v>
      </c>
      <c r="AP36" s="385">
        <f t="shared" si="104"/>
        <v>0.28844549449381329</v>
      </c>
      <c r="AQ36" s="388">
        <f t="shared" si="23"/>
        <v>5.760322292639386E-2</v>
      </c>
      <c r="AR36" s="384">
        <f>SUM(AR3:AR11)</f>
        <v>9876.7240000000002</v>
      </c>
      <c r="AS36" s="385">
        <f t="shared" ref="AS36" si="149">AR36/AO36-1</f>
        <v>0.31428601083953667</v>
      </c>
      <c r="AT36" s="386">
        <f t="shared" si="25"/>
        <v>0.69356736778119688</v>
      </c>
      <c r="AU36" s="387">
        <f>SUM(AU3:AU11)</f>
        <v>9144.9521889999996</v>
      </c>
      <c r="AV36" s="385">
        <f t="shared" ref="AV36" si="150">IFERROR(AU36/AR36-1,)</f>
        <v>-7.4090539636421981E-2</v>
      </c>
      <c r="AW36" s="386">
        <f t="shared" si="27"/>
        <v>0.31381457590432804</v>
      </c>
      <c r="AX36" s="387">
        <f>SUM(AX3:AX11)</f>
        <v>8471.9285869999985</v>
      </c>
      <c r="AY36" s="385">
        <f t="shared" ref="AY36" si="151">AX36/AU36-1</f>
        <v>-7.359509247183893E-2</v>
      </c>
      <c r="AZ36" s="386">
        <f t="shared" si="29"/>
        <v>0.45253064913510954</v>
      </c>
      <c r="BA36" s="387">
        <f>SUM(BA3:BA11)</f>
        <v>11797.211579999999</v>
      </c>
      <c r="BB36" s="385">
        <f t="shared" ref="BB36" si="152">BA36/AX36-1</f>
        <v>0.39250602254870048</v>
      </c>
      <c r="BC36" s="388">
        <f t="shared" si="31"/>
        <v>0.56984341635021751</v>
      </c>
      <c r="BD36" s="384">
        <f>SUM(BD3:BD11)</f>
        <v>10318.627559</v>
      </c>
      <c r="BE36" s="385">
        <f t="shared" ref="BE36" si="153">BD36/BA36-1</f>
        <v>-0.12533334771300242</v>
      </c>
      <c r="BF36" s="386">
        <f t="shared" ref="BF36" si="154">IFERROR(BD36/AR36-1,)</f>
        <v>4.47419163479712E-2</v>
      </c>
      <c r="BG36" s="387">
        <f>SUM(BG3:BG11)</f>
        <v>13174.373553000001</v>
      </c>
      <c r="BH36" s="385">
        <f t="shared" ref="BH36" si="155">IFERROR(BG36/BD36-1,)</f>
        <v>0.27675637846907208</v>
      </c>
      <c r="BI36" s="386">
        <f t="shared" ref="BI36" si="156">IFERROR(BG36/AU36-1,)</f>
        <v>0.44061699620986405</v>
      </c>
      <c r="BJ36" s="387">
        <f>SUM(BJ3:BJ11)</f>
        <v>12348.211809999997</v>
      </c>
      <c r="BK36" s="385">
        <f t="shared" ref="BK36" si="157">BJ36/BG36-1</f>
        <v>-6.2709755395684463E-2</v>
      </c>
      <c r="BL36" s="386">
        <f t="shared" ref="BL36" si="158">IFERROR(BJ36/AX36-1,)</f>
        <v>0.45754436940699383</v>
      </c>
      <c r="BM36" s="387">
        <f>SUM(BM3:BM11)</f>
        <v>14985.468999999999</v>
      </c>
      <c r="BN36" s="385">
        <f t="shared" ref="BN36" si="159">BM36/BJ36-1</f>
        <v>0.21357401626883843</v>
      </c>
      <c r="BO36" s="388">
        <f t="shared" ref="BO36" si="160">IFERROR(BM36/BA36-1,)</f>
        <v>0.27025516990854892</v>
      </c>
      <c r="BP36" s="384">
        <f>SUM(BP3:BP11)</f>
        <v>13694.298999999999</v>
      </c>
      <c r="BQ36" s="385">
        <f>BP36/BM36-1</f>
        <v>-8.6161467485602272E-2</v>
      </c>
      <c r="BR36" s="386">
        <f t="shared" si="137"/>
        <v>0.32714345214017415</v>
      </c>
      <c r="BS36" s="387">
        <f>SUM(BS3:BS11)</f>
        <v>16325.518000000002</v>
      </c>
      <c r="BT36" s="385">
        <f t="shared" ref="BT36" si="161">IFERROR(BS36/BP36-1,)</f>
        <v>0.19213973639687598</v>
      </c>
      <c r="BU36" s="386">
        <f>IFERROR(BS36/BG36-1,)</f>
        <v>0.2391874220298269</v>
      </c>
      <c r="BV36" s="387">
        <f>SUM(BV3:BV11)</f>
        <v>17648.23</v>
      </c>
      <c r="BW36" s="385">
        <f>BV36/BS36-1</f>
        <v>8.1021135133353628E-2</v>
      </c>
      <c r="BX36" s="386">
        <f>IFERROR(BV36/BJ36-1,)</f>
        <v>0.42921341742031593</v>
      </c>
      <c r="BY36" s="387">
        <f>SUM(BY3:BY11)</f>
        <v>21016.886999999999</v>
      </c>
      <c r="BZ36" s="385">
        <f>BY36/BV36-1</f>
        <v>0.19087789540367495</v>
      </c>
      <c r="CA36" s="388">
        <f>IFERROR(BY36/BM36-1,)</f>
        <v>0.40248443342013518</v>
      </c>
      <c r="CB36" s="543">
        <f>SUM(CB3:CB11)</f>
        <v>22545</v>
      </c>
      <c r="CC36" s="385">
        <f>CB36/BY36-1</f>
        <v>7.2708817438091655E-2</v>
      </c>
      <c r="CD36" s="386">
        <f t="shared" si="44"/>
        <v>0.64630551735433861</v>
      </c>
      <c r="CE36" s="387">
        <f>SUM(CE3:CE11)</f>
        <v>21007</v>
      </c>
      <c r="CF36" s="385">
        <f t="shared" si="56"/>
        <v>-6.821911732091368E-2</v>
      </c>
      <c r="CG36" s="386">
        <f>IFERROR(CE36/BS36-1,)</f>
        <v>0.28675855798266237</v>
      </c>
      <c r="CH36" s="387">
        <f>SUM(CH3:CH11)</f>
        <v>26106.023000000001</v>
      </c>
      <c r="CI36" s="385">
        <f>CH36/CE36-1</f>
        <v>0.24272970914457082</v>
      </c>
      <c r="CJ36" s="386">
        <f>IFERROR(CH36/BV36-1,)</f>
        <v>0.47924313089754622</v>
      </c>
      <c r="CK36" s="387"/>
      <c r="CL36" s="385">
        <f>CK36/CH36-1</f>
        <v>-1</v>
      </c>
      <c r="CM36" s="388">
        <f>IFERROR(CK36/BY36-1,)</f>
        <v>-1</v>
      </c>
    </row>
    <row r="37" spans="1:93" s="8" customFormat="1" ht="16.2" customHeight="1" x14ac:dyDescent="0.4">
      <c r="A37" s="156"/>
      <c r="B37" s="104"/>
      <c r="C37" s="104"/>
      <c r="D37" s="359"/>
      <c r="E37" s="359"/>
      <c r="F37" s="359"/>
      <c r="G37" s="359"/>
      <c r="H37" s="359"/>
      <c r="I37" s="360"/>
      <c r="J37" s="360"/>
      <c r="K37" s="359"/>
      <c r="L37" s="360"/>
      <c r="M37" s="360"/>
      <c r="N37" s="359"/>
      <c r="O37" s="360"/>
      <c r="P37" s="360"/>
      <c r="Q37" s="359"/>
      <c r="R37" s="360"/>
      <c r="S37" s="360"/>
      <c r="T37" s="359"/>
      <c r="U37" s="360"/>
      <c r="V37" s="360"/>
      <c r="W37" s="359"/>
      <c r="X37" s="360"/>
      <c r="Y37" s="360"/>
      <c r="Z37" s="359"/>
      <c r="AA37" s="360"/>
      <c r="AB37" s="360"/>
      <c r="AC37" s="359"/>
      <c r="AD37" s="360"/>
      <c r="AE37" s="360"/>
      <c r="AF37" s="359"/>
      <c r="AG37" s="360"/>
      <c r="AH37" s="360"/>
      <c r="AI37" s="359"/>
      <c r="AJ37" s="360"/>
      <c r="AK37" s="360"/>
      <c r="AL37" s="359"/>
      <c r="AM37" s="360"/>
      <c r="AN37" s="360"/>
      <c r="AO37" s="359"/>
      <c r="AP37" s="360"/>
      <c r="AQ37" s="360"/>
      <c r="AR37" s="359"/>
      <c r="AS37" s="360"/>
      <c r="AT37" s="360"/>
      <c r="AU37" s="359"/>
      <c r="AV37" s="360"/>
      <c r="AW37" s="360"/>
      <c r="AX37" s="359"/>
      <c r="AY37" s="360"/>
      <c r="AZ37" s="360"/>
      <c r="BA37" s="359"/>
      <c r="BB37" s="360"/>
      <c r="BC37" s="360"/>
      <c r="BD37" s="359"/>
      <c r="BE37" s="360"/>
      <c r="BF37" s="360"/>
      <c r="BG37" s="359"/>
      <c r="BH37" s="360"/>
      <c r="BI37" s="360"/>
      <c r="BJ37" s="359"/>
      <c r="BK37" s="360"/>
      <c r="BL37" s="360"/>
      <c r="BM37" s="359"/>
      <c r="BN37" s="360"/>
      <c r="BO37" s="360"/>
      <c r="BP37" s="359"/>
      <c r="BQ37" s="360"/>
      <c r="BR37" s="360"/>
      <c r="BS37" s="359"/>
      <c r="BT37" s="360"/>
      <c r="BU37" s="360"/>
      <c r="BV37" s="359"/>
      <c r="BW37" s="360"/>
      <c r="BX37" s="360"/>
      <c r="BY37" s="359"/>
      <c r="BZ37" s="360"/>
      <c r="CA37" s="360"/>
      <c r="CB37" s="359"/>
      <c r="CC37" s="360"/>
      <c r="CD37" s="360"/>
      <c r="CE37" s="359"/>
      <c r="CF37" s="360"/>
      <c r="CG37" s="360"/>
      <c r="CH37" s="359"/>
      <c r="CI37" s="360"/>
      <c r="CJ37" s="360"/>
      <c r="CK37" s="359"/>
      <c r="CL37" s="360"/>
      <c r="CM37" s="360"/>
    </row>
    <row r="38" spans="1:93" ht="16.2" customHeight="1" x14ac:dyDescent="0.4">
      <c r="B38" s="104"/>
      <c r="C38" s="104"/>
    </row>
    <row r="39" spans="1:93" ht="16.2" customHeight="1" x14ac:dyDescent="0.4">
      <c r="B39" s="104"/>
      <c r="C39" s="104"/>
    </row>
    <row r="40" spans="1:93" ht="16.2" customHeight="1" x14ac:dyDescent="0.4">
      <c r="B40" s="104"/>
      <c r="C40" s="104"/>
    </row>
    <row r="41" spans="1:93" ht="16.2" customHeight="1" x14ac:dyDescent="0.4">
      <c r="B41" s="104"/>
      <c r="C41" s="104"/>
    </row>
    <row r="42" spans="1:93" ht="16.2" customHeight="1" x14ac:dyDescent="0.4">
      <c r="B42" s="104"/>
      <c r="C42" s="104"/>
    </row>
    <row r="43" spans="1:93" ht="16.2" customHeight="1" x14ac:dyDescent="0.4">
      <c r="B43" s="104"/>
      <c r="C43" s="104"/>
    </row>
    <row r="44" spans="1:93" ht="16.2" customHeight="1" x14ac:dyDescent="0.4">
      <c r="B44" s="104"/>
      <c r="C44" s="104"/>
    </row>
    <row r="45" spans="1:93" ht="16.2" customHeight="1" x14ac:dyDescent="0.4">
      <c r="A45" s="157"/>
      <c r="B45" s="104"/>
      <c r="C45" s="104"/>
    </row>
    <row r="46" spans="1:93" ht="16.2" customHeight="1" x14ac:dyDescent="0.4">
      <c r="A46" s="159"/>
      <c r="B46" s="104"/>
      <c r="C46" s="104"/>
    </row>
    <row r="47" spans="1:93" ht="16.2" customHeight="1" x14ac:dyDescent="0.4">
      <c r="A47" s="157"/>
      <c r="B47" s="104"/>
      <c r="C47" s="104"/>
    </row>
    <row r="48" spans="1:93" ht="16.2" customHeight="1" x14ac:dyDescent="0.4">
      <c r="A48" s="160"/>
      <c r="B48" s="104"/>
      <c r="C48" s="104"/>
    </row>
    <row r="49" spans="1:3" ht="16.2" customHeight="1" x14ac:dyDescent="0.4">
      <c r="A49" s="160"/>
      <c r="B49" s="104"/>
      <c r="C49" s="104"/>
    </row>
    <row r="50" spans="1:3" ht="16.2" customHeight="1" x14ac:dyDescent="0.4">
      <c r="A50" s="157"/>
      <c r="B50" s="104"/>
      <c r="C50" s="104"/>
    </row>
    <row r="51" spans="1:3" ht="16.2" customHeight="1" x14ac:dyDescent="0.4">
      <c r="A51" s="160"/>
      <c r="B51" s="104"/>
      <c r="C51" s="104"/>
    </row>
    <row r="52" spans="1:3" ht="16.2" customHeight="1" x14ac:dyDescent="0.4">
      <c r="A52" s="160"/>
      <c r="B52" s="104"/>
      <c r="C52" s="104"/>
    </row>
    <row r="53" spans="1:3" ht="16.2" customHeight="1" x14ac:dyDescent="0.4">
      <c r="A53" s="157"/>
      <c r="B53" s="104"/>
      <c r="C53" s="104"/>
    </row>
    <row r="54" spans="1:3" ht="16.2" customHeight="1" x14ac:dyDescent="0.4">
      <c r="A54" s="160"/>
      <c r="B54" s="104"/>
      <c r="C54" s="104"/>
    </row>
    <row r="55" spans="1:3" ht="16.2" customHeight="1" x14ac:dyDescent="0.4">
      <c r="A55" s="160"/>
      <c r="B55" s="104"/>
      <c r="C55" s="104"/>
    </row>
    <row r="56" spans="1:3" ht="16.2" customHeight="1" x14ac:dyDescent="0.4">
      <c r="A56" s="157"/>
      <c r="B56" s="104"/>
      <c r="C56" s="104"/>
    </row>
    <row r="57" spans="1:3" ht="16.2" customHeight="1" x14ac:dyDescent="0.4">
      <c r="A57" s="161"/>
      <c r="B57" s="104"/>
      <c r="C57" s="104"/>
    </row>
    <row r="58" spans="1:3" ht="16.2" customHeight="1" x14ac:dyDescent="0.4">
      <c r="A58" s="160"/>
      <c r="B58" s="104"/>
      <c r="C58" s="104"/>
    </row>
    <row r="59" spans="1:3" ht="16.2" customHeight="1" x14ac:dyDescent="0.4">
      <c r="A59" s="160"/>
      <c r="B59" s="104"/>
      <c r="C59" s="104"/>
    </row>
    <row r="60" spans="1:3" ht="16.2" customHeight="1" x14ac:dyDescent="0.4">
      <c r="A60" s="162"/>
      <c r="B60" s="104"/>
      <c r="C60" s="104"/>
    </row>
    <row r="61" spans="1:3" ht="16.2" customHeight="1" x14ac:dyDescent="0.4">
      <c r="B61" s="104"/>
      <c r="C61" s="104"/>
    </row>
    <row r="62" spans="1:3" ht="16.2" customHeight="1" x14ac:dyDescent="0.4">
      <c r="B62" s="104"/>
      <c r="C62" s="104"/>
    </row>
    <row r="63" spans="1:3" ht="16.2" customHeight="1" x14ac:dyDescent="0.4">
      <c r="B63" s="104"/>
      <c r="C63" s="104"/>
    </row>
    <row r="64" spans="1:3" ht="16.2" customHeight="1" x14ac:dyDescent="0.4">
      <c r="B64" s="104"/>
      <c r="C64" s="104"/>
    </row>
    <row r="65" spans="2:3" ht="16.2" customHeight="1" x14ac:dyDescent="0.4">
      <c r="B65" s="104"/>
      <c r="C65" s="104"/>
    </row>
    <row r="66" spans="2:3" ht="16.2" customHeight="1" x14ac:dyDescent="0.4">
      <c r="B66" s="104"/>
      <c r="C66" s="104"/>
    </row>
    <row r="67" spans="2:3" ht="16.2" customHeight="1" x14ac:dyDescent="0.4">
      <c r="B67" s="104"/>
      <c r="C67" s="104"/>
    </row>
    <row r="68" spans="2:3" ht="16.2" customHeight="1" x14ac:dyDescent="0.4">
      <c r="B68" s="104"/>
      <c r="C68" s="104"/>
    </row>
    <row r="69" spans="2:3" ht="16.2" customHeight="1" x14ac:dyDescent="0.4">
      <c r="B69" s="104"/>
      <c r="C69" s="104"/>
    </row>
    <row r="70" spans="2:3" ht="16.2" customHeight="1" x14ac:dyDescent="0.4">
      <c r="B70" s="104"/>
      <c r="C70" s="104"/>
    </row>
    <row r="71" spans="2:3" ht="16.2" customHeight="1" x14ac:dyDescent="0.4">
      <c r="B71" s="104"/>
      <c r="C71" s="104"/>
    </row>
    <row r="72" spans="2:3" ht="16.2" customHeight="1" x14ac:dyDescent="0.4">
      <c r="B72" s="104"/>
      <c r="C72" s="104"/>
    </row>
    <row r="73" spans="2:3" ht="16.2" customHeight="1" x14ac:dyDescent="0.4">
      <c r="B73" s="104"/>
      <c r="C73" s="104"/>
    </row>
    <row r="74" spans="2:3" ht="16.2" customHeight="1" x14ac:dyDescent="0.4">
      <c r="B74" s="104"/>
      <c r="C74" s="104"/>
    </row>
    <row r="75" spans="2:3" ht="16.2" customHeight="1" x14ac:dyDescent="0.4">
      <c r="B75" s="104"/>
      <c r="C75" s="104"/>
    </row>
    <row r="76" spans="2:3" ht="16.2" customHeight="1" x14ac:dyDescent="0.4">
      <c r="B76" s="104"/>
      <c r="C76" s="104"/>
    </row>
    <row r="77" spans="2:3" ht="16.2" customHeight="1" x14ac:dyDescent="0.4">
      <c r="B77" s="104"/>
      <c r="C77" s="104"/>
    </row>
    <row r="78" spans="2:3" ht="16.2" customHeight="1" x14ac:dyDescent="0.4">
      <c r="B78" s="104"/>
      <c r="C78" s="104"/>
    </row>
    <row r="79" spans="2:3" ht="16.2" customHeight="1" x14ac:dyDescent="0.4">
      <c r="B79" s="104"/>
      <c r="C79" s="104"/>
    </row>
    <row r="80" spans="2:3" ht="16.2" customHeight="1" x14ac:dyDescent="0.4">
      <c r="B80" s="104"/>
      <c r="C80" s="104"/>
    </row>
    <row r="81" spans="2:3" ht="16.2" customHeight="1" x14ac:dyDescent="0.4">
      <c r="B81" s="104"/>
      <c r="C81" s="104"/>
    </row>
    <row r="82" spans="2:3" ht="16.2" customHeight="1" x14ac:dyDescent="0.4">
      <c r="B82" s="104"/>
      <c r="C82" s="104"/>
    </row>
    <row r="83" spans="2:3" ht="16.2" customHeight="1" x14ac:dyDescent="0.4">
      <c r="B83" s="104"/>
      <c r="C83" s="104"/>
    </row>
    <row r="84" spans="2:3" ht="16.2" customHeight="1" x14ac:dyDescent="0.4">
      <c r="B84" s="104"/>
      <c r="C84" s="104"/>
    </row>
    <row r="85" spans="2:3" ht="16.2" customHeight="1" x14ac:dyDescent="0.4">
      <c r="B85" s="104"/>
      <c r="C85" s="104"/>
    </row>
    <row r="86" spans="2:3" ht="16.2" customHeight="1" x14ac:dyDescent="0.4">
      <c r="B86" s="104"/>
      <c r="C86" s="104"/>
    </row>
    <row r="87" spans="2:3" ht="16.2" customHeight="1" x14ac:dyDescent="0.4">
      <c r="B87" s="104"/>
      <c r="C87" s="104"/>
    </row>
    <row r="88" spans="2:3" ht="16.2" customHeight="1" x14ac:dyDescent="0.4">
      <c r="B88" s="104"/>
      <c r="C88" s="104"/>
    </row>
    <row r="89" spans="2:3" ht="16.2" customHeight="1" x14ac:dyDescent="0.4">
      <c r="B89" s="104"/>
      <c r="C89" s="104"/>
    </row>
    <row r="90" spans="2:3" ht="16.2" customHeight="1" x14ac:dyDescent="0.4">
      <c r="B90" s="104"/>
      <c r="C90" s="104"/>
    </row>
    <row r="91" spans="2:3" ht="16.2" customHeight="1" x14ac:dyDescent="0.4">
      <c r="B91" s="104"/>
      <c r="C91" s="104"/>
    </row>
    <row r="92" spans="2:3" ht="16.2" customHeight="1" x14ac:dyDescent="0.4">
      <c r="B92" s="104"/>
      <c r="C92" s="104"/>
    </row>
    <row r="93" spans="2:3" ht="16.2" customHeight="1" x14ac:dyDescent="0.4">
      <c r="B93" s="104"/>
      <c r="C93" s="104"/>
    </row>
    <row r="94" spans="2:3" ht="16.2" customHeight="1" x14ac:dyDescent="0.4">
      <c r="B94" s="104"/>
      <c r="C94" s="104"/>
    </row>
    <row r="95" spans="2:3" ht="16.2" customHeight="1" x14ac:dyDescent="0.4">
      <c r="B95" s="104"/>
      <c r="C95" s="104"/>
    </row>
    <row r="96" spans="2:3" ht="16.2" customHeight="1" x14ac:dyDescent="0.4">
      <c r="B96" s="104"/>
      <c r="C96" s="104"/>
    </row>
    <row r="97" spans="2:3" ht="16.2" customHeight="1" x14ac:dyDescent="0.4">
      <c r="B97" s="104"/>
      <c r="C97" s="104"/>
    </row>
    <row r="98" spans="2:3" ht="16.2" customHeight="1" x14ac:dyDescent="0.4">
      <c r="B98" s="104"/>
      <c r="C98" s="104"/>
    </row>
    <row r="99" spans="2:3" ht="16.2" customHeight="1" x14ac:dyDescent="0.4">
      <c r="B99" s="104"/>
      <c r="C99" s="104"/>
    </row>
    <row r="100" spans="2:3" ht="16.2" customHeight="1" x14ac:dyDescent="0.4">
      <c r="B100" s="104"/>
      <c r="C100" s="104"/>
    </row>
    <row r="101" spans="2:3" ht="16.2" customHeight="1" x14ac:dyDescent="0.4">
      <c r="B101" s="104"/>
      <c r="C101" s="104"/>
    </row>
    <row r="102" spans="2:3" ht="16.2" customHeight="1" x14ac:dyDescent="0.4">
      <c r="B102" s="104"/>
      <c r="C102" s="104"/>
    </row>
    <row r="103" spans="2:3" ht="16.2" customHeight="1" x14ac:dyDescent="0.4">
      <c r="B103" s="104"/>
      <c r="C103" s="104"/>
    </row>
    <row r="104" spans="2:3" ht="16.2" customHeight="1" x14ac:dyDescent="0.4">
      <c r="B104" s="104"/>
      <c r="C104" s="104"/>
    </row>
    <row r="105" spans="2:3" ht="16.2" customHeight="1" x14ac:dyDescent="0.4">
      <c r="B105" s="104"/>
      <c r="C105" s="104"/>
    </row>
    <row r="106" spans="2:3" ht="16.2" customHeight="1" x14ac:dyDescent="0.4">
      <c r="B106" s="104"/>
      <c r="C106" s="104"/>
    </row>
    <row r="107" spans="2:3" ht="16.2" customHeight="1" x14ac:dyDescent="0.4">
      <c r="B107" s="104"/>
      <c r="C107" s="104"/>
    </row>
    <row r="108" spans="2:3" ht="16.2" customHeight="1" x14ac:dyDescent="0.4">
      <c r="B108" s="104"/>
      <c r="C108" s="104"/>
    </row>
  </sheetData>
  <mergeCells count="2">
    <mergeCell ref="CE12:CG35"/>
    <mergeCell ref="CH12:CJ35"/>
  </mergeCells>
  <phoneticPr fontId="3" type="noConversion"/>
  <conditionalFormatting sqref="BT3:BU36 BW3:BX36 BZ3:CA36">
    <cfRule type="cellIs" dxfId="298" priority="5" operator="lessThan">
      <formula>0</formula>
    </cfRule>
    <cfRule type="cellIs" dxfId="297" priority="6" operator="greaterThan">
      <formula>0</formula>
    </cfRule>
  </conditionalFormatting>
  <conditionalFormatting sqref="CF3:CG11 CI3:CJ11 I3:J36 L3:M36 O3:P36 R3:S36 U3:V36 X3:Y36 AA3:AB36 AD3:AE36 AG3:AH36 AJ3:AK36 AM3:AN36 AP3:AQ36 AS3:AT36 AV3:AW36 AY3:AZ36 BB3:BC36 BE3:BF36 BH3:BI36 BK3:BL36 BN3:BO36 BQ3:BR36 CC3:CD36 CL3:CM36 CF36:CG36 CI36:CJ36">
    <cfRule type="cellIs" dxfId="296" priority="7" operator="lessThan">
      <formula>0</formula>
    </cfRule>
    <cfRule type="cellIs" dxfId="295" priority="8" operator="greaterThan">
      <formula>0</formula>
    </cfRule>
  </conditionalFormatting>
  <pageMargins left="0.25" right="0.25" top="0.75" bottom="0.75" header="0.3" footer="0.3"/>
  <pageSetup paperSize="9" scale="55" fitToHeight="0" orientation="landscape" r:id="rId1"/>
  <colBreaks count="1" manualBreakCount="1">
    <brk id="6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  <pageSetUpPr fitToPage="1"/>
  </sheetPr>
  <dimension ref="A1:CS91"/>
  <sheetViews>
    <sheetView showGridLines="0" view="pageBreakPreview" zoomScaleNormal="85" zoomScaleSheetLayoutView="100" workbookViewId="0">
      <pane xSplit="4" ySplit="2" topLeftCell="CA27" activePane="bottomRight" state="frozen"/>
      <selection activeCell="D50" sqref="D50"/>
      <selection pane="topRight" activeCell="D50" sqref="D50"/>
      <selection pane="bottomLeft" activeCell="D50" sqref="D50"/>
      <selection pane="bottomRight" activeCell="CO7" sqref="CO7"/>
    </sheetView>
  </sheetViews>
  <sheetFormatPr defaultColWidth="8.69921875" defaultRowHeight="16.2" customHeight="1" outlineLevelCol="1" x14ac:dyDescent="0.4"/>
  <cols>
    <col min="1" max="1" width="3.19921875" style="156" customWidth="1"/>
    <col min="2" max="2" width="3.5" style="37" customWidth="1"/>
    <col min="3" max="3" width="16.69921875" style="11" customWidth="1"/>
    <col min="4" max="4" width="25.69921875" style="11" customWidth="1"/>
    <col min="5" max="8" width="9.19921875" style="760" hidden="1" customWidth="1" outlineLevel="1"/>
    <col min="9" max="9" width="9.19921875" style="336" hidden="1" customWidth="1" outlineLevel="1"/>
    <col min="10" max="11" width="5.69921875" style="337" hidden="1" customWidth="1" outlineLevel="1"/>
    <col min="12" max="12" width="9.19921875" style="336" hidden="1" customWidth="1" outlineLevel="1"/>
    <col min="13" max="14" width="5.69921875" style="337" hidden="1" customWidth="1" outlineLevel="1"/>
    <col min="15" max="15" width="9.19921875" style="336" hidden="1" customWidth="1" outlineLevel="1"/>
    <col min="16" max="17" width="5.69921875" style="337" hidden="1" customWidth="1" outlineLevel="1"/>
    <col min="18" max="18" width="9.19921875" style="336" hidden="1" customWidth="1" outlineLevel="1"/>
    <col min="19" max="20" width="5.69921875" style="337" hidden="1" customWidth="1" outlineLevel="1"/>
    <col min="21" max="21" width="9.19921875" style="336" hidden="1" customWidth="1" outlineLevel="1"/>
    <col min="22" max="23" width="5.69921875" style="337" hidden="1" customWidth="1" outlineLevel="1"/>
    <col min="24" max="24" width="9.19921875" style="336" hidden="1" customWidth="1" outlineLevel="1"/>
    <col min="25" max="26" width="5.69921875" style="337" hidden="1" customWidth="1" outlineLevel="1"/>
    <col min="27" max="27" width="9.19921875" style="336" hidden="1" customWidth="1" outlineLevel="1"/>
    <col min="28" max="29" width="5.69921875" style="337" hidden="1" customWidth="1" outlineLevel="1"/>
    <col min="30" max="30" width="9.19921875" style="336" hidden="1" customWidth="1" outlineLevel="1"/>
    <col min="31" max="32" width="5.69921875" style="337" hidden="1" customWidth="1" outlineLevel="1"/>
    <col min="33" max="33" width="9.19921875" style="336" hidden="1" customWidth="1" outlineLevel="1"/>
    <col min="34" max="35" width="5.69921875" style="337" hidden="1" customWidth="1" outlineLevel="1"/>
    <col min="36" max="36" width="9.19921875" style="336" hidden="1" customWidth="1" outlineLevel="1"/>
    <col min="37" max="38" width="5.69921875" style="337" hidden="1" customWidth="1" outlineLevel="1"/>
    <col min="39" max="39" width="9.19921875" style="336" hidden="1" customWidth="1" outlineLevel="1"/>
    <col min="40" max="41" width="5.69921875" style="337" hidden="1" customWidth="1" outlineLevel="1"/>
    <col min="42" max="42" width="9.19921875" style="336" hidden="1" customWidth="1" outlineLevel="1"/>
    <col min="43" max="44" width="5.69921875" style="337" hidden="1" customWidth="1" outlineLevel="1"/>
    <col min="45" max="45" width="9.19921875" style="336" hidden="1" customWidth="1" outlineLevel="1" collapsed="1"/>
    <col min="46" max="47" width="5.69921875" style="337" hidden="1" customWidth="1" outlineLevel="1"/>
    <col min="48" max="48" width="9.19921875" style="336" hidden="1" customWidth="1" outlineLevel="1"/>
    <col min="49" max="50" width="5.69921875" style="337" hidden="1" customWidth="1" outlineLevel="1"/>
    <col min="51" max="51" width="9.19921875" style="336" hidden="1" customWidth="1" outlineLevel="1"/>
    <col min="52" max="53" width="5.69921875" style="337" hidden="1" customWidth="1" outlineLevel="1"/>
    <col min="54" max="54" width="9.19921875" style="336" hidden="1" customWidth="1" outlineLevel="1"/>
    <col min="55" max="56" width="5.69921875" style="337" hidden="1" customWidth="1" outlineLevel="1"/>
    <col min="57" max="57" width="9.19921875" style="336" hidden="1" customWidth="1" outlineLevel="1"/>
    <col min="58" max="59" width="5.69921875" style="337" hidden="1" customWidth="1" outlineLevel="1"/>
    <col min="60" max="60" width="9.19921875" style="336" hidden="1" customWidth="1" outlineLevel="1"/>
    <col min="61" max="62" width="5.69921875" style="337" hidden="1" customWidth="1" outlineLevel="1"/>
    <col min="63" max="63" width="9.19921875" style="336" hidden="1" customWidth="1" outlineLevel="1"/>
    <col min="64" max="65" width="5.69921875" style="337" hidden="1" customWidth="1" outlineLevel="1"/>
    <col min="66" max="66" width="9.19921875" style="336" hidden="1" customWidth="1" outlineLevel="1"/>
    <col min="67" max="68" width="5.69921875" style="337" hidden="1" customWidth="1" outlineLevel="1"/>
    <col min="69" max="69" width="9.19921875" style="336" customWidth="1" collapsed="1"/>
    <col min="70" max="71" width="5.69921875" style="337" customWidth="1"/>
    <col min="72" max="72" width="9.19921875" style="336" customWidth="1"/>
    <col min="73" max="74" width="5.69921875" style="337" customWidth="1"/>
    <col min="75" max="75" width="9.19921875" style="336" customWidth="1"/>
    <col min="76" max="77" width="5.69921875" style="337" customWidth="1"/>
    <col min="78" max="78" width="9.19921875" style="336" customWidth="1"/>
    <col min="79" max="80" width="5.69921875" style="337" customWidth="1"/>
    <col min="81" max="81" width="9.19921875" style="336" customWidth="1"/>
    <col min="82" max="82" width="5.69921875" style="337" customWidth="1"/>
    <col min="83" max="83" width="7" style="337" customWidth="1"/>
    <col min="84" max="84" width="9.19921875" style="336" customWidth="1"/>
    <col min="85" max="86" width="6.5" style="337" bestFit="1" customWidth="1"/>
    <col min="87" max="87" width="9.19921875" style="336" customWidth="1"/>
    <col min="88" max="89" width="5.69921875" style="337" customWidth="1"/>
    <col min="90" max="90" width="9.19921875" style="336" hidden="1" customWidth="1"/>
    <col min="91" max="92" width="5.69921875" style="337" hidden="1" customWidth="1"/>
    <col min="93" max="16384" width="8.69921875" style="11"/>
  </cols>
  <sheetData>
    <row r="1" spans="1:97" ht="16.2" customHeight="1" thickBot="1" x14ac:dyDescent="0.45">
      <c r="A1" s="157"/>
      <c r="B1" s="21" t="s">
        <v>159</v>
      </c>
      <c r="C1" s="21"/>
      <c r="P1" s="336"/>
      <c r="Q1" s="336"/>
      <c r="S1" s="336"/>
      <c r="AB1" s="336"/>
      <c r="AC1" s="336"/>
      <c r="AE1" s="336"/>
      <c r="AN1" s="336"/>
      <c r="AO1" s="336"/>
      <c r="AQ1" s="336"/>
      <c r="AZ1" s="336"/>
      <c r="BA1" s="336"/>
      <c r="BC1" s="336"/>
      <c r="BL1" s="336"/>
      <c r="BM1" s="336"/>
      <c r="BO1" s="336"/>
      <c r="BX1" s="336"/>
      <c r="BY1" s="336"/>
      <c r="BZ1" s="11" t="s">
        <v>405</v>
      </c>
      <c r="CA1" s="336"/>
      <c r="CJ1" s="336"/>
      <c r="CK1" s="336"/>
      <c r="CL1" s="11"/>
      <c r="CM1" s="336"/>
    </row>
    <row r="2" spans="1:97" s="21" customFormat="1" ht="16.2" customHeight="1" x14ac:dyDescent="0.4">
      <c r="A2" s="156">
        <v>1</v>
      </c>
      <c r="B2" s="23"/>
      <c r="C2" s="24" t="s">
        <v>500</v>
      </c>
      <c r="D2" s="9" t="s">
        <v>502</v>
      </c>
      <c r="E2" s="761" t="s">
        <v>377</v>
      </c>
      <c r="F2" s="762" t="s">
        <v>378</v>
      </c>
      <c r="G2" s="762" t="s">
        <v>379</v>
      </c>
      <c r="H2" s="762" t="s">
        <v>380</v>
      </c>
      <c r="I2" s="338" t="s">
        <v>335</v>
      </c>
      <c r="J2" s="339" t="s">
        <v>9</v>
      </c>
      <c r="K2" s="340" t="s">
        <v>0</v>
      </c>
      <c r="L2" s="339" t="s">
        <v>336</v>
      </c>
      <c r="M2" s="339" t="s">
        <v>9</v>
      </c>
      <c r="N2" s="340" t="s">
        <v>0</v>
      </c>
      <c r="O2" s="339" t="s">
        <v>337</v>
      </c>
      <c r="P2" s="339" t="s">
        <v>9</v>
      </c>
      <c r="Q2" s="340" t="s">
        <v>0</v>
      </c>
      <c r="R2" s="339" t="s">
        <v>338</v>
      </c>
      <c r="S2" s="339" t="s">
        <v>9</v>
      </c>
      <c r="T2" s="341" t="s">
        <v>0</v>
      </c>
      <c r="U2" s="338" t="s">
        <v>339</v>
      </c>
      <c r="V2" s="339" t="s">
        <v>9</v>
      </c>
      <c r="W2" s="340" t="s">
        <v>0</v>
      </c>
      <c r="X2" s="339" t="s">
        <v>340</v>
      </c>
      <c r="Y2" s="339" t="s">
        <v>9</v>
      </c>
      <c r="Z2" s="340" t="s">
        <v>0</v>
      </c>
      <c r="AA2" s="339" t="s">
        <v>341</v>
      </c>
      <c r="AB2" s="339" t="s">
        <v>9</v>
      </c>
      <c r="AC2" s="340" t="s">
        <v>0</v>
      </c>
      <c r="AD2" s="339" t="s">
        <v>342</v>
      </c>
      <c r="AE2" s="339" t="s">
        <v>9</v>
      </c>
      <c r="AF2" s="341" t="s">
        <v>0</v>
      </c>
      <c r="AG2" s="338" t="s">
        <v>343</v>
      </c>
      <c r="AH2" s="339" t="s">
        <v>9</v>
      </c>
      <c r="AI2" s="340" t="s">
        <v>0</v>
      </c>
      <c r="AJ2" s="339" t="s">
        <v>344</v>
      </c>
      <c r="AK2" s="339" t="s">
        <v>9</v>
      </c>
      <c r="AL2" s="340" t="s">
        <v>0</v>
      </c>
      <c r="AM2" s="339" t="s">
        <v>345</v>
      </c>
      <c r="AN2" s="339" t="s">
        <v>9</v>
      </c>
      <c r="AO2" s="340" t="s">
        <v>0</v>
      </c>
      <c r="AP2" s="339" t="s">
        <v>346</v>
      </c>
      <c r="AQ2" s="339" t="s">
        <v>9</v>
      </c>
      <c r="AR2" s="341" t="s">
        <v>0</v>
      </c>
      <c r="AS2" s="338" t="s">
        <v>312</v>
      </c>
      <c r="AT2" s="339" t="s">
        <v>9</v>
      </c>
      <c r="AU2" s="340" t="s">
        <v>0</v>
      </c>
      <c r="AV2" s="339" t="s">
        <v>313</v>
      </c>
      <c r="AW2" s="339" t="s">
        <v>9</v>
      </c>
      <c r="AX2" s="340" t="s">
        <v>0</v>
      </c>
      <c r="AY2" s="339" t="s">
        <v>314</v>
      </c>
      <c r="AZ2" s="339" t="s">
        <v>9</v>
      </c>
      <c r="BA2" s="340" t="s">
        <v>0</v>
      </c>
      <c r="BB2" s="339" t="s">
        <v>315</v>
      </c>
      <c r="BC2" s="339" t="s">
        <v>9</v>
      </c>
      <c r="BD2" s="341" t="s">
        <v>0</v>
      </c>
      <c r="BE2" s="338" t="s">
        <v>316</v>
      </c>
      <c r="BF2" s="339" t="s">
        <v>9</v>
      </c>
      <c r="BG2" s="340" t="s">
        <v>0</v>
      </c>
      <c r="BH2" s="339" t="s">
        <v>317</v>
      </c>
      <c r="BI2" s="339" t="s">
        <v>9</v>
      </c>
      <c r="BJ2" s="340" t="s">
        <v>0</v>
      </c>
      <c r="BK2" s="339" t="s">
        <v>318</v>
      </c>
      <c r="BL2" s="339" t="s">
        <v>9</v>
      </c>
      <c r="BM2" s="340" t="s">
        <v>0</v>
      </c>
      <c r="BN2" s="339" t="s">
        <v>319</v>
      </c>
      <c r="BO2" s="339" t="s">
        <v>9</v>
      </c>
      <c r="BP2" s="341" t="s">
        <v>0</v>
      </c>
      <c r="BQ2" s="338" t="s">
        <v>214</v>
      </c>
      <c r="BR2" s="339" t="s">
        <v>9</v>
      </c>
      <c r="BS2" s="340" t="s">
        <v>0</v>
      </c>
      <c r="BT2" s="339" t="s">
        <v>235</v>
      </c>
      <c r="BU2" s="339" t="s">
        <v>9</v>
      </c>
      <c r="BV2" s="340" t="s">
        <v>0</v>
      </c>
      <c r="BW2" s="339" t="s">
        <v>236</v>
      </c>
      <c r="BX2" s="339" t="s">
        <v>9</v>
      </c>
      <c r="BY2" s="340" t="s">
        <v>0</v>
      </c>
      <c r="BZ2" s="339" t="s">
        <v>237</v>
      </c>
      <c r="CA2" s="339" t="s">
        <v>9</v>
      </c>
      <c r="CB2" s="341" t="s">
        <v>0</v>
      </c>
      <c r="CC2" s="338" t="s">
        <v>272</v>
      </c>
      <c r="CD2" s="339" t="s">
        <v>9</v>
      </c>
      <c r="CE2" s="340" t="s">
        <v>0</v>
      </c>
      <c r="CF2" s="339" t="s">
        <v>416</v>
      </c>
      <c r="CG2" s="339" t="s">
        <v>9</v>
      </c>
      <c r="CH2" s="340" t="s">
        <v>0</v>
      </c>
      <c r="CI2" s="339" t="s">
        <v>447</v>
      </c>
      <c r="CJ2" s="339" t="s">
        <v>9</v>
      </c>
      <c r="CK2" s="340" t="s">
        <v>0</v>
      </c>
      <c r="CL2" s="339"/>
      <c r="CM2" s="339" t="s">
        <v>9</v>
      </c>
      <c r="CN2" s="341" t="s">
        <v>0</v>
      </c>
    </row>
    <row r="3" spans="1:97" s="21" customFormat="1" ht="16.2" customHeight="1" x14ac:dyDescent="0.4">
      <c r="A3" s="156">
        <f>A2+1</f>
        <v>2</v>
      </c>
      <c r="B3" s="25" t="s">
        <v>10</v>
      </c>
      <c r="C3" s="26"/>
      <c r="D3" s="27" t="s">
        <v>11</v>
      </c>
      <c r="E3" s="763">
        <f>E14+E4</f>
        <v>65258.445511999998</v>
      </c>
      <c r="F3" s="764">
        <f>F14+F4</f>
        <v>67506.482514000003</v>
      </c>
      <c r="G3" s="764">
        <f>G14+G4</f>
        <v>65963.596936000002</v>
      </c>
      <c r="H3" s="764">
        <f>H14+H4</f>
        <v>75677.203787000006</v>
      </c>
      <c r="I3" s="775">
        <f>I14+I4</f>
        <v>82848.056214000011</v>
      </c>
      <c r="J3" s="342">
        <f>IFERROR(I3/H3-1,)</f>
        <v>9.4755779391413331E-2</v>
      </c>
      <c r="K3" s="343">
        <f>IFERROR(I3/E3-1,)</f>
        <v>0.26953769070036393</v>
      </c>
      <c r="L3" s="344">
        <f>L14+L4</f>
        <v>87242.541507000002</v>
      </c>
      <c r="M3" s="342">
        <f>IFERROR(L3/I3-1,)</f>
        <v>5.3042708469210886E-2</v>
      </c>
      <c r="N3" s="343">
        <f>IFERROR(L3/F3-1,)</f>
        <v>0.29235798190058238</v>
      </c>
      <c r="O3" s="344">
        <f>O14+O4</f>
        <v>100126.03041099999</v>
      </c>
      <c r="P3" s="342">
        <f>IFERROR(O3/L3-1,)</f>
        <v>0.14767438776375252</v>
      </c>
      <c r="Q3" s="343">
        <f>IFERROR(O3/G3-1,)</f>
        <v>0.51789828120115211</v>
      </c>
      <c r="R3" s="344">
        <f>R14+R4</f>
        <v>113657.44126300002</v>
      </c>
      <c r="S3" s="342">
        <f>IFERROR(R3/O3-1,)</f>
        <v>0.13514378625074763</v>
      </c>
      <c r="T3" s="345">
        <f>IFERROR(R3/H3-1,)</f>
        <v>0.50187157526193293</v>
      </c>
      <c r="U3" s="775">
        <f>U14+U4</f>
        <v>125213.27323799999</v>
      </c>
      <c r="V3" s="342">
        <f>IFERROR(U3/R3-1,0)</f>
        <v>0.1016724628549408</v>
      </c>
      <c r="W3" s="343">
        <f>IFERROR(U3/I3-1,)</f>
        <v>0.51136042244091828</v>
      </c>
      <c r="X3" s="344">
        <f>X14+X4</f>
        <v>123101.55900200002</v>
      </c>
      <c r="Y3" s="342">
        <f>IFERROR(X3/U3-1,0)</f>
        <v>-1.6864939166521986E-2</v>
      </c>
      <c r="Z3" s="343">
        <f>IFERROR(X3/L3-1,)</f>
        <v>0.41102674080308432</v>
      </c>
      <c r="AA3" s="344">
        <f>AA14+AA4</f>
        <v>123711.197873</v>
      </c>
      <c r="AB3" s="342">
        <f>IFERROR(AA3/X3-1,0)</f>
        <v>4.9523245354681222E-3</v>
      </c>
      <c r="AC3" s="343">
        <f>IFERROR(AA3/O3-1,)</f>
        <v>0.23555480393247374</v>
      </c>
      <c r="AD3" s="344">
        <f>AD14+AD4</f>
        <v>137526.116239</v>
      </c>
      <c r="AE3" s="342">
        <f>IFERROR(AD3/AA3-1,0)</f>
        <v>0.11167071860529698</v>
      </c>
      <c r="AF3" s="345">
        <f>IFERROR(AD3/R3-1,)</f>
        <v>0.2100053873355161</v>
      </c>
      <c r="AG3" s="775">
        <f>AG14+AG4</f>
        <v>148752.20316400001</v>
      </c>
      <c r="AH3" s="342">
        <f>IFERROR(AG3/AD3-1,0)</f>
        <v>8.1628764281329147E-2</v>
      </c>
      <c r="AI3" s="343">
        <f>IFERROR(AG3/U3-1,)</f>
        <v>0.18799069233864873</v>
      </c>
      <c r="AJ3" s="344">
        <f>AJ14+AJ4</f>
        <v>159020.24689899999</v>
      </c>
      <c r="AK3" s="342">
        <f>IFERROR(AJ3/AG3-1,0)</f>
        <v>6.9027843061117089E-2</v>
      </c>
      <c r="AL3" s="343">
        <f>IFERROR(AJ3/X3-1,)</f>
        <v>0.29178093428058371</v>
      </c>
      <c r="AM3" s="344">
        <f>AM14+AM4</f>
        <v>173655.54235499998</v>
      </c>
      <c r="AN3" s="342">
        <f>IFERROR(AM3/AJ3-1,0)</f>
        <v>9.2034163833838445E-2</v>
      </c>
      <c r="AO3" s="343">
        <f>IFERROR(AM3/AA3-1,)</f>
        <v>0.40371724905026052</v>
      </c>
      <c r="AP3" s="344">
        <f>AP14+AP4</f>
        <v>216379.20556199999</v>
      </c>
      <c r="AQ3" s="342">
        <f>IFERROR(AP3/AM3-1,0)</f>
        <v>0.24602533629281464</v>
      </c>
      <c r="AR3" s="345">
        <f>IFERROR(AP3/AD3-1,)</f>
        <v>0.57336810985024123</v>
      </c>
      <c r="AS3" s="775">
        <f>AS14+AS4</f>
        <v>304075.81447500002</v>
      </c>
      <c r="AT3" s="342">
        <f>IFERROR(AS3/AP3-1,0)</f>
        <v>0.40529129721696844</v>
      </c>
      <c r="AU3" s="343">
        <f>IFERROR(AS3/AG3-1,)</f>
        <v>1.0441768794493416</v>
      </c>
      <c r="AV3" s="344">
        <f>AV14+AV4</f>
        <v>312182.54843999998</v>
      </c>
      <c r="AW3" s="342">
        <f>IFERROR(AV3/AS3-1,0)</f>
        <v>2.6660239253150086E-2</v>
      </c>
      <c r="AX3" s="343">
        <f>IFERROR(AV3/AJ3-1,)</f>
        <v>0.96316226724436782</v>
      </c>
      <c r="AY3" s="344">
        <f>AY14+AY4</f>
        <v>334294.15943</v>
      </c>
      <c r="AZ3" s="342">
        <f>IFERROR(AY3/AV3-1,0)</f>
        <v>7.0829106561188127E-2</v>
      </c>
      <c r="BA3" s="343">
        <f>IFERROR(AY3/AM3-1,)</f>
        <v>0.92504169401406289</v>
      </c>
      <c r="BB3" s="344">
        <f>BB14+BB4</f>
        <v>331411.10808899999</v>
      </c>
      <c r="BC3" s="342">
        <f>IFERROR(BB3/AY3-1,0)</f>
        <v>-8.624294680816047E-3</v>
      </c>
      <c r="BD3" s="345">
        <f>IFERROR(BB3/AP3-1,)</f>
        <v>0.53162179899971695</v>
      </c>
      <c r="BE3" s="613">
        <f>BE14+BE4</f>
        <v>352378.25742399995</v>
      </c>
      <c r="BF3" s="342">
        <f>IFERROR(BE3/BB3-1,0)</f>
        <v>6.3266284150527818E-2</v>
      </c>
      <c r="BG3" s="343">
        <f t="shared" ref="BG3:BG32" si="0">IFERROR(BE3/AS3-1,)</f>
        <v>0.15884999940687883</v>
      </c>
      <c r="BH3" s="614">
        <f>BH14+BH4</f>
        <v>359536.77002099995</v>
      </c>
      <c r="BI3" s="342">
        <f>IFERROR(BH3/BE3-1,0)</f>
        <v>2.0314853275372524E-2</v>
      </c>
      <c r="BJ3" s="343">
        <f t="shared" ref="BJ3:BJ51" si="1">IFERROR(BH3/AV3-1,)</f>
        <v>0.15168760014815885</v>
      </c>
      <c r="BK3" s="614">
        <f>BK14+BK4</f>
        <v>363110.04936199996</v>
      </c>
      <c r="BL3" s="342">
        <f>IFERROR(BK3/BH3-1,0)</f>
        <v>9.9385643943770141E-3</v>
      </c>
      <c r="BM3" s="343">
        <f t="shared" ref="BM3:BM51" si="2">IFERROR(BK3/AY3-1,)</f>
        <v>8.6199202466275437E-2</v>
      </c>
      <c r="BN3" s="614">
        <f>BN14+BN4</f>
        <v>375443.02176100004</v>
      </c>
      <c r="BO3" s="342">
        <f>IFERROR(BN3/BK3-1,0)</f>
        <v>3.3964833583288723E-2</v>
      </c>
      <c r="BP3" s="345">
        <f t="shared" ref="BP3:BP51" si="3">IFERROR(BN3/BB3-1,)</f>
        <v>0.13286191258313318</v>
      </c>
      <c r="BQ3" s="613">
        <f>BQ14+BQ4</f>
        <v>402862.55748999998</v>
      </c>
      <c r="BR3" s="342">
        <f>IFERROR(BQ3/BN3-1,0)</f>
        <v>7.3032482000570331E-2</v>
      </c>
      <c r="BS3" s="343">
        <f>IFERROR(BQ3/BE3-1,)</f>
        <v>0.14326735263139323</v>
      </c>
      <c r="BT3" s="614">
        <f>BT14+BT4</f>
        <v>418525.08788893209</v>
      </c>
      <c r="BU3" s="342">
        <f>IFERROR(BT3/BQ3-1,0)</f>
        <v>3.8878099013510026E-2</v>
      </c>
      <c r="BV3" s="343">
        <f>IFERROR(BT3/BH3-1,)</f>
        <v>0.1640675524355597</v>
      </c>
      <c r="BW3" s="614">
        <f>BW14+BW4</f>
        <v>433669.19059999997</v>
      </c>
      <c r="BX3" s="342">
        <f>IFERROR(BW3/BT3-1,0)</f>
        <v>3.6184456199401804E-2</v>
      </c>
      <c r="BY3" s="343">
        <f>IFERROR(BW3/BK3-1,)</f>
        <v>0.19431888861785973</v>
      </c>
      <c r="BZ3" s="614">
        <f>BZ14+BZ4</f>
        <v>608378.808831</v>
      </c>
      <c r="CA3" s="342">
        <f>IFERROR(BZ3/BW3-1,0)</f>
        <v>0.40286380037576985</v>
      </c>
      <c r="CB3" s="345">
        <f>IFERROR(BZ3/BN3-1,)</f>
        <v>0.62042912923890348</v>
      </c>
      <c r="CC3" s="613">
        <f>CC14+CC4</f>
        <v>631905</v>
      </c>
      <c r="CD3" s="342">
        <f>IFERROR(CC3/BZ3-1,0)</f>
        <v>3.8670300193732299E-2</v>
      </c>
      <c r="CE3" s="343">
        <f>IFERROR(CC3/BQ3-1,)</f>
        <v>0.56853742858862089</v>
      </c>
      <c r="CF3" s="614">
        <f>CF14+CF4</f>
        <v>626554.49929499999</v>
      </c>
      <c r="CG3" s="342">
        <f>IFERROR(CF3/CC3-1,)</f>
        <v>-8.467254895910048E-3</v>
      </c>
      <c r="CH3" s="343">
        <f>IFERROR(CF3/AV3-1,)</f>
        <v>1.0070132120643533</v>
      </c>
      <c r="CI3" s="614">
        <f>CI14+CI4</f>
        <v>654403.55809199996</v>
      </c>
      <c r="CJ3" s="342">
        <f>IFERROR(CI3/CF3-1,)</f>
        <v>4.4447943201007645E-2</v>
      </c>
      <c r="CK3" s="343">
        <f>IFERROR(CI3/AY3-1,)</f>
        <v>0.95756802693715537</v>
      </c>
      <c r="CL3" s="614"/>
      <c r="CM3" s="342">
        <f>IFERROR(CL3/CI3-1,)</f>
        <v>-1</v>
      </c>
      <c r="CN3" s="345">
        <f>IFERROR(CL3/BB3-1,)</f>
        <v>-1</v>
      </c>
    </row>
    <row r="4" spans="1:97" s="31" customFormat="1" ht="16.2" customHeight="1" x14ac:dyDescent="0.4">
      <c r="A4" s="156">
        <f t="shared" ref="A4:A51" si="4">A3+1</f>
        <v>3</v>
      </c>
      <c r="B4" s="28" t="s">
        <v>12</v>
      </c>
      <c r="C4" s="29"/>
      <c r="D4" s="30" t="s">
        <v>13</v>
      </c>
      <c r="E4" s="765">
        <f>SUM(E5:E13)</f>
        <v>29690.824758999996</v>
      </c>
      <c r="F4" s="766">
        <f>SUM(F5:F13)</f>
        <v>31448.371665999992</v>
      </c>
      <c r="G4" s="766">
        <f>SUM(G5:G13)</f>
        <v>29016.565249999996</v>
      </c>
      <c r="H4" s="766">
        <f>SUM(H5:H13)</f>
        <v>26596.473248000002</v>
      </c>
      <c r="I4" s="776">
        <f>SUM(I5:I13)</f>
        <v>33276.433339999996</v>
      </c>
      <c r="J4" s="346">
        <f t="shared" ref="J4:J51" si="5">IFERROR(I4/H4-1,)</f>
        <v>0.25115961916124774</v>
      </c>
      <c r="K4" s="347">
        <f t="shared" ref="K4:K51" si="6">IFERROR(I4/E4-1,)</f>
        <v>0.12076486962232735</v>
      </c>
      <c r="L4" s="148">
        <f>SUM(L5:L13)</f>
        <v>33153.086559999996</v>
      </c>
      <c r="M4" s="346">
        <f t="shared" ref="M4:M51" si="7">IFERROR(L4/I4-1,)</f>
        <v>-3.7067307887149736E-3</v>
      </c>
      <c r="N4" s="347">
        <f t="shared" ref="N4:N51" si="8">IFERROR(L4/F4-1,)</f>
        <v>5.4206777765954506E-2</v>
      </c>
      <c r="O4" s="148">
        <f>SUM(O5:O13)</f>
        <v>45622.307109999994</v>
      </c>
      <c r="P4" s="346">
        <f t="shared" ref="P4:P51" si="9">IFERROR(O4/L4-1,)</f>
        <v>0.37611039706464067</v>
      </c>
      <c r="Q4" s="347">
        <f t="shared" ref="Q4:Q51" si="10">IFERROR(O4/G4-1,)</f>
        <v>0.57228489026625917</v>
      </c>
      <c r="R4" s="148">
        <f>SUM(R5:R13)</f>
        <v>57647.141853000001</v>
      </c>
      <c r="S4" s="346">
        <f t="shared" ref="S4:S51" si="11">IFERROR(R4/O4-1,)</f>
        <v>0.26357357846912288</v>
      </c>
      <c r="T4" s="348">
        <f t="shared" ref="T4:T51" si="12">IFERROR(R4/H4-1,)</f>
        <v>1.1674731576426187</v>
      </c>
      <c r="U4" s="776">
        <f>SUM(U5:U13)</f>
        <v>69390.592065000004</v>
      </c>
      <c r="V4" s="346">
        <f>IFERROR(U4/R4-1,0)</f>
        <v>0.203712618432077</v>
      </c>
      <c r="W4" s="347">
        <f t="shared" ref="W4:W51" si="13">IFERROR(U4/I4-1,)</f>
        <v>1.0852773299351441</v>
      </c>
      <c r="X4" s="148">
        <f>SUM(X5:X13)</f>
        <v>67797.109952000013</v>
      </c>
      <c r="Y4" s="346">
        <f>IFERROR(X4/U4-1,0)</f>
        <v>-2.29639503797191E-2</v>
      </c>
      <c r="Z4" s="347">
        <f t="shared" ref="Z4:Z51" si="14">IFERROR(X4/L4-1,)</f>
        <v>1.0449712828186222</v>
      </c>
      <c r="AA4" s="148">
        <f>SUM(AA5:AA13)</f>
        <v>68405.505810999995</v>
      </c>
      <c r="AB4" s="346">
        <f>IFERROR(AA4/X4-1,0)</f>
        <v>8.9737727674634726E-3</v>
      </c>
      <c r="AC4" s="347">
        <f t="shared" ref="AC4:AC51" si="15">IFERROR(AA4/O4-1,)</f>
        <v>0.49938725470562906</v>
      </c>
      <c r="AD4" s="148">
        <f>SUM(AD5:AD13)</f>
        <v>83012.388495000007</v>
      </c>
      <c r="AE4" s="346">
        <f>IFERROR(AD4/AA4-1,0)</f>
        <v>0.2135337281820251</v>
      </c>
      <c r="AF4" s="348">
        <f t="shared" ref="AF4:AF51" si="16">IFERROR(AD4/R4-1,)</f>
        <v>0.44000874677674906</v>
      </c>
      <c r="AG4" s="776">
        <f>SUM(AG5:AG13)</f>
        <v>92106.536024999994</v>
      </c>
      <c r="AH4" s="346">
        <f>IFERROR(AG4/AD4-1,0)</f>
        <v>0.10955169095691963</v>
      </c>
      <c r="AI4" s="347">
        <f t="shared" ref="AI4:AI51" si="17">IFERROR(AG4/U4-1,)</f>
        <v>0.32736345495829422</v>
      </c>
      <c r="AJ4" s="148">
        <f>SUM(AJ5:AJ13)</f>
        <v>87668.031784999999</v>
      </c>
      <c r="AK4" s="346">
        <f>IFERROR(AJ4/AG4-1,0)</f>
        <v>-4.8188808650835302E-2</v>
      </c>
      <c r="AL4" s="347">
        <f t="shared" ref="AL4:AL51" si="18">IFERROR(AJ4/X4-1,)</f>
        <v>0.293093936409214</v>
      </c>
      <c r="AM4" s="148">
        <f>SUM(AM5:AM13)</f>
        <v>92337.833576999998</v>
      </c>
      <c r="AN4" s="346">
        <f>IFERROR(AM4/AJ4-1,0)</f>
        <v>5.3266871594110476E-2</v>
      </c>
      <c r="AO4" s="347">
        <f t="shared" ref="AO4:AO51" si="19">IFERROR(AM4/AA4-1,)</f>
        <v>0.3498596711224311</v>
      </c>
      <c r="AP4" s="148">
        <f>SUM(AP5:AP13)</f>
        <v>73140.020852000001</v>
      </c>
      <c r="AQ4" s="346">
        <f>IFERROR(AP4/AM4-1,0)</f>
        <v>-0.20790841609892274</v>
      </c>
      <c r="AR4" s="348">
        <f t="shared" ref="AR4:AR51" si="20">IFERROR(AP4/AD4-1,)</f>
        <v>-0.11892643763159083</v>
      </c>
      <c r="AS4" s="776">
        <f>SUM(AS5:AS13)</f>
        <v>92715.110526999983</v>
      </c>
      <c r="AT4" s="346">
        <f>IFERROR(AS4/AP4-1,0)</f>
        <v>0.26763855748155296</v>
      </c>
      <c r="AU4" s="347">
        <f t="shared" ref="AU4:AU15" si="21">IFERROR(AS4/AG4-1,)</f>
        <v>6.6072889966766191E-3</v>
      </c>
      <c r="AV4" s="148">
        <f>SUM(AV5:AV13)</f>
        <v>101291.63701799999</v>
      </c>
      <c r="AW4" s="346">
        <f>IFERROR(AV4/AS4-1,0)</f>
        <v>9.2504085280709525E-2</v>
      </c>
      <c r="AX4" s="347">
        <f t="shared" ref="AX4:AX15" si="22">IFERROR(AV4/AJ4-1,)</f>
        <v>0.15539992122112389</v>
      </c>
      <c r="AY4" s="148">
        <f>SUM(AY5:AY13)</f>
        <v>123516.094105</v>
      </c>
      <c r="AZ4" s="346">
        <f>IFERROR(AY4/AV4-1,0)</f>
        <v>0.21941058256419144</v>
      </c>
      <c r="BA4" s="347">
        <f t="shared" ref="BA4:BA15" si="23">IFERROR(AY4/AM4-1,)</f>
        <v>0.33765423467511413</v>
      </c>
      <c r="BB4" s="148">
        <f>SUM(BB5:BB13)</f>
        <v>147788.69051699998</v>
      </c>
      <c r="BC4" s="346">
        <f>IFERROR(BB4/AY4-1,0)</f>
        <v>0.19651363320609905</v>
      </c>
      <c r="BD4" s="348">
        <f t="shared" ref="BD4:BD15" si="24">IFERROR(BB4/AP4-1,)</f>
        <v>1.0206268578464415</v>
      </c>
      <c r="BE4" s="615">
        <f>SUM(BE5:BE13)</f>
        <v>168588.54518099999</v>
      </c>
      <c r="BF4" s="346">
        <f>IFERROR(BE4/BB4-1,0)</f>
        <v>0.14074050315512765</v>
      </c>
      <c r="BG4" s="347">
        <f t="shared" si="0"/>
        <v>0.81835025836381403</v>
      </c>
      <c r="BH4" s="616">
        <f>SUM(BH5:BH13)</f>
        <v>171307.52366199996</v>
      </c>
      <c r="BI4" s="346">
        <f>IFERROR(BH4/BE4-1,0)</f>
        <v>1.6127895748081933E-2</v>
      </c>
      <c r="BJ4" s="347">
        <f t="shared" si="1"/>
        <v>0.69123067515986358</v>
      </c>
      <c r="BK4" s="616">
        <f>SUM(BK5:BK13)</f>
        <v>174594.21920999995</v>
      </c>
      <c r="BL4" s="346">
        <f>IFERROR(BK4/BH4-1,0)</f>
        <v>1.9185938117258772E-2</v>
      </c>
      <c r="BM4" s="347">
        <f t="shared" si="2"/>
        <v>0.41353416714731006</v>
      </c>
      <c r="BN4" s="616">
        <f>SUM(BN5:BN13)</f>
        <v>185737.48307700001</v>
      </c>
      <c r="BO4" s="346">
        <f>IFERROR(BN4/BK4-1,0)</f>
        <v>6.382378475885897E-2</v>
      </c>
      <c r="BP4" s="348">
        <f t="shared" si="3"/>
        <v>0.25677737875101347</v>
      </c>
      <c r="BQ4" s="615">
        <f>SUM(BQ5:BQ13)</f>
        <v>212555.72948299997</v>
      </c>
      <c r="BR4" s="346">
        <f>IFERROR(BQ4/BN4-1,0)</f>
        <v>0.14438790685497827</v>
      </c>
      <c r="BS4" s="347">
        <f t="shared" ref="BS4:BS51" si="25">IFERROR(BQ4/BE4-1,)</f>
        <v>0.26079579875842662</v>
      </c>
      <c r="BT4" s="616">
        <f>SUM(BT5:BT13)</f>
        <v>187148.80076900005</v>
      </c>
      <c r="BU4" s="346">
        <f>IFERROR(BT4/BQ4-1,0)</f>
        <v>-0.11953066979562155</v>
      </c>
      <c r="BV4" s="347">
        <f t="shared" ref="BV4:BV51" si="26">IFERROR(BT4/BH4-1,)</f>
        <v>9.2472745903769304E-2</v>
      </c>
      <c r="BW4" s="616">
        <f>SUM(BW5:BW13)</f>
        <v>202195.670771</v>
      </c>
      <c r="BX4" s="346">
        <f>IFERROR(BW4/BT4-1,0)</f>
        <v>8.0400568639349634E-2</v>
      </c>
      <c r="BY4" s="347">
        <f t="shared" ref="BY4:BY51" si="27">IFERROR(BW4/BK4-1,)</f>
        <v>0.15808914914760908</v>
      </c>
      <c r="BZ4" s="616">
        <f>SUM(BZ5:BZ13)</f>
        <v>234201.82322299996</v>
      </c>
      <c r="CA4" s="346">
        <f>IFERROR(BZ4/BW4-1,0)</f>
        <v>0.15829296606577214</v>
      </c>
      <c r="CB4" s="348">
        <f t="shared" ref="CB4:CB51" si="28">IFERROR(BZ4/BN4-1,)</f>
        <v>0.26092923917736299</v>
      </c>
      <c r="CC4" s="615">
        <f>SUM(CC5:CC13)</f>
        <v>254232</v>
      </c>
      <c r="CD4" s="346">
        <f>IFERROR(CC4/BZ4-1,0)</f>
        <v>8.5525281150044208E-2</v>
      </c>
      <c r="CE4" s="347">
        <f t="shared" ref="CE4:CE32" si="29">IFERROR(CC4/BQ4-1,)</f>
        <v>0.19607220477363452</v>
      </c>
      <c r="CF4" s="616">
        <f>SUM(CF5:CF13)</f>
        <v>248438.39016899999</v>
      </c>
      <c r="CG4" s="346">
        <f t="shared" ref="CG4:CG51" si="30">IFERROR(CF4/CC4-1,)</f>
        <v>-2.2788672672991672E-2</v>
      </c>
      <c r="CH4" s="347">
        <f t="shared" ref="CH4:CH51" si="31">IFERROR(CF4/AV4-1,)</f>
        <v>1.4527038705559803</v>
      </c>
      <c r="CI4" s="616">
        <f>SUM(CI5:CI13)</f>
        <v>272370.07779499993</v>
      </c>
      <c r="CJ4" s="346">
        <f t="shared" ref="CJ4:CJ51" si="32">IFERROR(CI4/CF4-1,)</f>
        <v>9.6328460386981396E-2</v>
      </c>
      <c r="CK4" s="347">
        <f t="shared" ref="CK4:CK51" si="33">IFERROR(CI4/AY4-1,)</f>
        <v>1.2051383649118668</v>
      </c>
      <c r="CL4" s="616"/>
      <c r="CM4" s="346">
        <f t="shared" ref="CM4:CM51" si="34">IFERROR(CL4/CI4-1,)</f>
        <v>-1</v>
      </c>
      <c r="CN4" s="348">
        <f t="shared" ref="CN4:CN51" si="35">IFERROR(CL4/BB4-1,)</f>
        <v>-1</v>
      </c>
      <c r="CO4" s="21"/>
    </row>
    <row r="5" spans="1:97" ht="16.2" customHeight="1" x14ac:dyDescent="0.4">
      <c r="A5" s="156">
        <f t="shared" si="4"/>
        <v>4</v>
      </c>
      <c r="B5" s="32"/>
      <c r="C5" s="33" t="s">
        <v>131</v>
      </c>
      <c r="D5" s="34" t="s">
        <v>217</v>
      </c>
      <c r="E5" s="767">
        <v>21621.432669999998</v>
      </c>
      <c r="F5" s="768">
        <v>12667.620714999999</v>
      </c>
      <c r="G5" s="768">
        <v>14243.873997999999</v>
      </c>
      <c r="H5" s="768">
        <v>10471.172528999999</v>
      </c>
      <c r="I5" s="777">
        <v>15976.22969</v>
      </c>
      <c r="J5" s="349">
        <f t="shared" si="5"/>
        <v>0.52573454842365552</v>
      </c>
      <c r="K5" s="350">
        <f t="shared" si="6"/>
        <v>-0.26109291951928726</v>
      </c>
      <c r="L5" s="147">
        <v>21910.493371</v>
      </c>
      <c r="M5" s="349">
        <f t="shared" si="7"/>
        <v>0.37144331273068976</v>
      </c>
      <c r="N5" s="350">
        <f t="shared" si="8"/>
        <v>0.72964551622984097</v>
      </c>
      <c r="O5" s="147">
        <v>25418.907330999999</v>
      </c>
      <c r="P5" s="349">
        <f t="shared" si="9"/>
        <v>0.16012482697644859</v>
      </c>
      <c r="Q5" s="350">
        <f t="shared" si="10"/>
        <v>0.78455013955958197</v>
      </c>
      <c r="R5" s="147">
        <v>33976.505980000002</v>
      </c>
      <c r="S5" s="349">
        <f t="shared" si="11"/>
        <v>0.33666272659027552</v>
      </c>
      <c r="T5" s="351">
        <f t="shared" si="12"/>
        <v>2.2447661315771263</v>
      </c>
      <c r="U5" s="777">
        <v>42632.482932999999</v>
      </c>
      <c r="V5" s="349">
        <f t="shared" ref="V5:V13" si="36">(IFERROR(U5/R5-1,0))</f>
        <v>0.25476359923811076</v>
      </c>
      <c r="W5" s="350">
        <f t="shared" si="13"/>
        <v>1.6684946173304547</v>
      </c>
      <c r="X5" s="147">
        <v>40612.368906000003</v>
      </c>
      <c r="Y5" s="349">
        <f t="shared" ref="Y5:Y13" si="37">(IFERROR(X5/U5-1,0))</f>
        <v>-4.7384385989780342E-2</v>
      </c>
      <c r="Z5" s="350">
        <f t="shared" si="14"/>
        <v>0.85355793766621346</v>
      </c>
      <c r="AA5" s="147">
        <v>49343.279583000003</v>
      </c>
      <c r="AB5" s="349">
        <f t="shared" ref="AB5:AB13" si="38">(IFERROR(AA5/X5-1,0))</f>
        <v>0.21498156626145759</v>
      </c>
      <c r="AC5" s="350">
        <f t="shared" si="15"/>
        <v>0.94120380315571972</v>
      </c>
      <c r="AD5" s="147">
        <v>64383.495927999997</v>
      </c>
      <c r="AE5" s="349">
        <f t="shared" ref="AE5:AE13" si="39">(IFERROR(AD5/AA5-1,0))</f>
        <v>0.30480779697062799</v>
      </c>
      <c r="AF5" s="351">
        <f t="shared" si="16"/>
        <v>0.89494163896366574</v>
      </c>
      <c r="AG5" s="777">
        <v>66851.909599000006</v>
      </c>
      <c r="AH5" s="349">
        <f t="shared" ref="AH5:AH13" si="40">(IFERROR(AG5/AD5-1,0))</f>
        <v>3.8339230192787843E-2</v>
      </c>
      <c r="AI5" s="350">
        <f t="shared" si="17"/>
        <v>0.56809796192407025</v>
      </c>
      <c r="AJ5" s="147">
        <v>62265.016994999998</v>
      </c>
      <c r="AK5" s="349">
        <f t="shared" ref="AK5:AK13" si="41">(IFERROR(AJ5/AG5-1,0))</f>
        <v>-6.8612738686354868E-2</v>
      </c>
      <c r="AL5" s="350">
        <f t="shared" si="18"/>
        <v>0.5331540284960099</v>
      </c>
      <c r="AM5" s="147">
        <v>60804.331588000001</v>
      </c>
      <c r="AN5" s="349">
        <f t="shared" ref="AN5:AN13" si="42">(IFERROR(AM5/AJ5-1,0))</f>
        <v>-2.3459166599397063E-2</v>
      </c>
      <c r="AO5" s="350">
        <f t="shared" si="19"/>
        <v>0.232271792670802</v>
      </c>
      <c r="AP5" s="147">
        <v>42788.254095999997</v>
      </c>
      <c r="AQ5" s="349">
        <f t="shared" ref="AQ5:AQ13" si="43">(IFERROR(AP5/AM5-1,0))</f>
        <v>-0.29629595493416383</v>
      </c>
      <c r="AR5" s="351">
        <f t="shared" si="20"/>
        <v>-0.33541580059818343</v>
      </c>
      <c r="AS5" s="777">
        <v>57476.614688000001</v>
      </c>
      <c r="AT5" s="349">
        <f t="shared" ref="AT5:AT13" si="44">(IFERROR(AS5/AP5-1,0))</f>
        <v>0.34328020393272185</v>
      </c>
      <c r="AU5" s="350">
        <f t="shared" si="21"/>
        <v>-0.14023974733461086</v>
      </c>
      <c r="AV5" s="147">
        <v>48044.219129999998</v>
      </c>
      <c r="AW5" s="349">
        <f t="shared" ref="AW5:AW13" si="45">(IFERROR(AV5/AS5-1,0))</f>
        <v>-0.16410840494350309</v>
      </c>
      <c r="AX5" s="350">
        <f t="shared" si="22"/>
        <v>-0.22839145560888485</v>
      </c>
      <c r="AY5" s="147">
        <v>66668.390455000001</v>
      </c>
      <c r="AZ5" s="349">
        <f t="shared" ref="AZ5:AZ13" si="46">(IFERROR(AY5/AV5-1,0))</f>
        <v>0.38764645699841571</v>
      </c>
      <c r="BA5" s="350">
        <f t="shared" si="23"/>
        <v>9.6441465827367123E-2</v>
      </c>
      <c r="BB5" s="147">
        <v>26004.48544</v>
      </c>
      <c r="BC5" s="349">
        <f t="shared" ref="BC5:BC13" si="47">(IFERROR(BB5/AY5-1,0))</f>
        <v>-0.60994280404065593</v>
      </c>
      <c r="BD5" s="351">
        <f t="shared" si="24"/>
        <v>-0.39225177588091875</v>
      </c>
      <c r="BE5" s="617">
        <v>13182.789149</v>
      </c>
      <c r="BF5" s="349">
        <f t="shared" ref="BF5:BF13" si="48">(IFERROR(BE5/BB5-1,0))</f>
        <v>-0.49305710434391892</v>
      </c>
      <c r="BG5" s="350">
        <f t="shared" si="0"/>
        <v>-0.77064082113116672</v>
      </c>
      <c r="BH5" s="618">
        <v>10083.952676000001</v>
      </c>
      <c r="BI5" s="349">
        <f t="shared" ref="BI5:BI13" si="49">(IFERROR(BH5/BE5-1,0))</f>
        <v>-0.23506683130368256</v>
      </c>
      <c r="BJ5" s="350">
        <f t="shared" si="1"/>
        <v>-0.79011100901204301</v>
      </c>
      <c r="BK5" s="618">
        <v>6940.6655010000004</v>
      </c>
      <c r="BL5" s="349">
        <f t="shared" ref="BL5:BL13" si="50">(IFERROR(BK5/BH5-1,0))</f>
        <v>-0.31171181341232235</v>
      </c>
      <c r="BM5" s="350">
        <f t="shared" si="2"/>
        <v>-0.89589270936899501</v>
      </c>
      <c r="BN5" s="618">
        <v>18336.205417000001</v>
      </c>
      <c r="BO5" s="349">
        <f t="shared" ref="BO5:BO13" si="51">(IFERROR(BN5/BK5-1,0))</f>
        <v>1.6418511905462307</v>
      </c>
      <c r="BP5" s="351">
        <f t="shared" si="3"/>
        <v>-0.29488297473499248</v>
      </c>
      <c r="BQ5" s="617">
        <v>50606.434802000003</v>
      </c>
      <c r="BR5" s="349">
        <f t="shared" ref="BR5:BR13" si="52">(IFERROR(BQ5/BN5-1,0))</f>
        <v>1.7599186228073878</v>
      </c>
      <c r="BS5" s="350">
        <f t="shared" si="25"/>
        <v>2.8388260807341235</v>
      </c>
      <c r="BT5" s="618">
        <v>24273.216864000002</v>
      </c>
      <c r="BU5" s="349">
        <f t="shared" ref="BU5:BU13" si="53">(IFERROR(BT5/BQ5-1,0))</f>
        <v>-0.52035315352741063</v>
      </c>
      <c r="BV5" s="350">
        <f t="shared" si="26"/>
        <v>1.4071133258856636</v>
      </c>
      <c r="BW5" s="618">
        <v>3190.0688980000004</v>
      </c>
      <c r="BX5" s="349">
        <f t="shared" ref="BX5:BX13" si="54">(IFERROR(BW5/BT5-1,0))</f>
        <v>-0.86857659139810006</v>
      </c>
      <c r="BY5" s="350">
        <f t="shared" si="27"/>
        <v>-0.54037996824074286</v>
      </c>
      <c r="BZ5" s="618">
        <v>22745.070820000001</v>
      </c>
      <c r="CA5" s="349">
        <f t="shared" ref="CA5:CA13" si="55">(IFERROR(BZ5/BW5-1,0))</f>
        <v>6.1299622507400775</v>
      </c>
      <c r="CB5" s="351">
        <f t="shared" si="28"/>
        <v>0.24044589939597971</v>
      </c>
      <c r="CC5" s="617">
        <v>39226</v>
      </c>
      <c r="CD5" s="349">
        <f t="shared" ref="CD5:CD13" si="56">(IFERROR(CC5/BZ5-1,0))</f>
        <v>0.72459344314321195</v>
      </c>
      <c r="CE5" s="350">
        <f t="shared" si="29"/>
        <v>-0.22488118055592088</v>
      </c>
      <c r="CF5" s="618">
        <v>55374.676501000002</v>
      </c>
      <c r="CG5" s="349">
        <f t="shared" si="30"/>
        <v>0.41168297815224597</v>
      </c>
      <c r="CH5" s="350">
        <f t="shared" si="31"/>
        <v>0.15257730282107307</v>
      </c>
      <c r="CI5" s="618">
        <v>35149.509143000003</v>
      </c>
      <c r="CJ5" s="349">
        <f t="shared" si="32"/>
        <v>-0.36524217631564415</v>
      </c>
      <c r="CK5" s="350">
        <f t="shared" si="33"/>
        <v>-0.47277099532310884</v>
      </c>
      <c r="CL5" s="618"/>
      <c r="CM5" s="349">
        <f t="shared" si="34"/>
        <v>-1</v>
      </c>
      <c r="CN5" s="351">
        <f t="shared" si="35"/>
        <v>-1</v>
      </c>
      <c r="CQ5" s="41"/>
      <c r="CR5" s="41"/>
      <c r="CS5" s="41"/>
    </row>
    <row r="6" spans="1:97" ht="16.2" customHeight="1" x14ac:dyDescent="0.4">
      <c r="A6" s="156">
        <f t="shared" si="4"/>
        <v>5</v>
      </c>
      <c r="B6" s="32"/>
      <c r="C6" s="33" t="s">
        <v>132</v>
      </c>
      <c r="D6" s="34" t="s">
        <v>73</v>
      </c>
      <c r="E6" s="767">
        <v>203.91583299999999</v>
      </c>
      <c r="F6" s="768">
        <v>11000</v>
      </c>
      <c r="G6" s="768">
        <v>6000</v>
      </c>
      <c r="H6" s="768">
        <v>6000</v>
      </c>
      <c r="I6" s="777">
        <v>6000</v>
      </c>
      <c r="J6" s="349">
        <f t="shared" si="5"/>
        <v>0</v>
      </c>
      <c r="K6" s="350">
        <f t="shared" si="6"/>
        <v>28.423904518488275</v>
      </c>
      <c r="L6" s="147" t="s">
        <v>3</v>
      </c>
      <c r="M6" s="349">
        <f t="shared" si="7"/>
        <v>0</v>
      </c>
      <c r="N6" s="350">
        <f t="shared" si="8"/>
        <v>0</v>
      </c>
      <c r="O6" s="147">
        <v>4000</v>
      </c>
      <c r="P6" s="349">
        <f t="shared" si="9"/>
        <v>0</v>
      </c>
      <c r="Q6" s="350">
        <f t="shared" si="10"/>
        <v>-0.33333333333333337</v>
      </c>
      <c r="R6" s="147">
        <v>7000</v>
      </c>
      <c r="S6" s="349">
        <f t="shared" si="11"/>
        <v>0.75</v>
      </c>
      <c r="T6" s="351">
        <f t="shared" si="12"/>
        <v>0.16666666666666674</v>
      </c>
      <c r="U6" s="777">
        <v>7000</v>
      </c>
      <c r="V6" s="349">
        <f t="shared" si="36"/>
        <v>0</v>
      </c>
      <c r="W6" s="350">
        <f t="shared" si="13"/>
        <v>0.16666666666666674</v>
      </c>
      <c r="X6" s="147">
        <v>7240.7064639999999</v>
      </c>
      <c r="Y6" s="349">
        <f t="shared" si="37"/>
        <v>3.4386637714285628E-2</v>
      </c>
      <c r="Z6" s="350">
        <f t="shared" si="14"/>
        <v>0</v>
      </c>
      <c r="AA6" s="147">
        <v>3240.7064639999999</v>
      </c>
      <c r="AB6" s="349">
        <f t="shared" si="38"/>
        <v>-0.55243228266296418</v>
      </c>
      <c r="AC6" s="350">
        <f t="shared" si="15"/>
        <v>-0.18982338399999998</v>
      </c>
      <c r="AD6" s="147">
        <v>3240.7064639999999</v>
      </c>
      <c r="AE6" s="349">
        <f t="shared" si="39"/>
        <v>0</v>
      </c>
      <c r="AF6" s="351">
        <f t="shared" si="16"/>
        <v>-0.53704193371428577</v>
      </c>
      <c r="AG6" s="777">
        <v>3240.7064639999999</v>
      </c>
      <c r="AH6" s="349">
        <f t="shared" si="40"/>
        <v>0</v>
      </c>
      <c r="AI6" s="350">
        <f t="shared" si="17"/>
        <v>-0.53704193371428577</v>
      </c>
      <c r="AJ6" s="147">
        <v>3240.7064639999999</v>
      </c>
      <c r="AK6" s="349">
        <f t="shared" si="41"/>
        <v>0</v>
      </c>
      <c r="AL6" s="350">
        <f t="shared" si="18"/>
        <v>-0.55243228266296418</v>
      </c>
      <c r="AM6" s="147">
        <v>3240.7064639999999</v>
      </c>
      <c r="AN6" s="349">
        <f t="shared" si="42"/>
        <v>0</v>
      </c>
      <c r="AO6" s="350">
        <f t="shared" si="19"/>
        <v>0</v>
      </c>
      <c r="AP6" s="147">
        <v>0</v>
      </c>
      <c r="AQ6" s="349">
        <f t="shared" si="43"/>
        <v>-1</v>
      </c>
      <c r="AR6" s="351">
        <f t="shared" si="20"/>
        <v>-1</v>
      </c>
      <c r="AS6" s="777">
        <v>0</v>
      </c>
      <c r="AT6" s="349">
        <f t="shared" si="44"/>
        <v>0</v>
      </c>
      <c r="AU6" s="350">
        <f t="shared" si="21"/>
        <v>-1</v>
      </c>
      <c r="AV6" s="147">
        <v>20000</v>
      </c>
      <c r="AW6" s="349">
        <f t="shared" si="45"/>
        <v>0</v>
      </c>
      <c r="AX6" s="350">
        <f t="shared" si="22"/>
        <v>5.1714938462257471</v>
      </c>
      <c r="AY6" s="147">
        <v>18315.285199999998</v>
      </c>
      <c r="AZ6" s="349">
        <f t="shared" si="46"/>
        <v>-8.4235740000000114E-2</v>
      </c>
      <c r="BA6" s="350">
        <f t="shared" si="23"/>
        <v>4.651633495183475</v>
      </c>
      <c r="BB6" s="147">
        <v>65377.445899999999</v>
      </c>
      <c r="BC6" s="349">
        <f t="shared" si="47"/>
        <v>2.5695565308477972</v>
      </c>
      <c r="BD6" s="351">
        <f t="shared" si="24"/>
        <v>0</v>
      </c>
      <c r="BE6" s="617">
        <v>95521.045899999997</v>
      </c>
      <c r="BF6" s="349">
        <f t="shared" si="48"/>
        <v>0.46107032150058336</v>
      </c>
      <c r="BG6" s="350">
        <f t="shared" si="0"/>
        <v>0</v>
      </c>
      <c r="BH6" s="618">
        <v>96079.045899999997</v>
      </c>
      <c r="BI6" s="349">
        <f t="shared" si="49"/>
        <v>5.8416445793962879E-3</v>
      </c>
      <c r="BJ6" s="350">
        <f t="shared" si="1"/>
        <v>3.8039522950000002</v>
      </c>
      <c r="BK6" s="618">
        <v>88135.269899999999</v>
      </c>
      <c r="BL6" s="349">
        <f t="shared" si="50"/>
        <v>-8.2679588723934216E-2</v>
      </c>
      <c r="BM6" s="350">
        <f t="shared" si="2"/>
        <v>3.8121156147762312</v>
      </c>
      <c r="BN6" s="618">
        <v>90365.422000000006</v>
      </c>
      <c r="BO6" s="349">
        <f t="shared" si="51"/>
        <v>2.5303741652239475E-2</v>
      </c>
      <c r="BP6" s="351">
        <f t="shared" si="3"/>
        <v>0.38221095602635047</v>
      </c>
      <c r="BQ6" s="617">
        <v>78221.822</v>
      </c>
      <c r="BR6" s="349">
        <f t="shared" si="52"/>
        <v>-0.13438326000403122</v>
      </c>
      <c r="BS6" s="350">
        <f t="shared" si="25"/>
        <v>-0.18110379484444061</v>
      </c>
      <c r="BT6" s="618">
        <v>80681.022000000012</v>
      </c>
      <c r="BU6" s="349">
        <f t="shared" si="53"/>
        <v>3.1438797219528025E-2</v>
      </c>
      <c r="BV6" s="350">
        <f t="shared" si="26"/>
        <v>-0.16026412164861004</v>
      </c>
      <c r="BW6" s="618">
        <v>76644.222000000009</v>
      </c>
      <c r="BX6" s="349">
        <f t="shared" si="54"/>
        <v>-5.0034071209459907E-2</v>
      </c>
      <c r="BY6" s="350">
        <f t="shared" si="27"/>
        <v>-0.13037967561724106</v>
      </c>
      <c r="BZ6" s="618">
        <v>135296.36077599999</v>
      </c>
      <c r="CA6" s="349">
        <f t="shared" si="55"/>
        <v>0.76525192957141597</v>
      </c>
      <c r="CB6" s="351">
        <f t="shared" si="28"/>
        <v>0.49721384332161889</v>
      </c>
      <c r="CC6" s="617">
        <v>135164</v>
      </c>
      <c r="CD6" s="349">
        <f t="shared" si="56"/>
        <v>-9.7830255921760312E-4</v>
      </c>
      <c r="CE6" s="350">
        <f t="shared" si="29"/>
        <v>0.72795770469268795</v>
      </c>
      <c r="CF6" s="618">
        <v>103778.622</v>
      </c>
      <c r="CG6" s="349">
        <f t="shared" si="30"/>
        <v>-0.2322021988103341</v>
      </c>
      <c r="CH6" s="350">
        <f t="shared" si="31"/>
        <v>4.1889311000000005</v>
      </c>
      <c r="CI6" s="618">
        <v>136435.022</v>
      </c>
      <c r="CJ6" s="349">
        <f t="shared" si="32"/>
        <v>0.31467367142338798</v>
      </c>
      <c r="CK6" s="350">
        <f t="shared" si="33"/>
        <v>6.4492436514174516</v>
      </c>
      <c r="CL6" s="618"/>
      <c r="CM6" s="349">
        <f t="shared" si="34"/>
        <v>-1</v>
      </c>
      <c r="CN6" s="351">
        <f t="shared" si="35"/>
        <v>-1</v>
      </c>
      <c r="CQ6" s="21"/>
      <c r="CR6" s="21"/>
      <c r="CS6" s="21"/>
    </row>
    <row r="7" spans="1:97" ht="16.2" customHeight="1" x14ac:dyDescent="0.4">
      <c r="A7" s="156">
        <f t="shared" si="4"/>
        <v>6</v>
      </c>
      <c r="B7" s="32"/>
      <c r="C7" s="33" t="s">
        <v>133</v>
      </c>
      <c r="D7" s="34" t="s">
        <v>218</v>
      </c>
      <c r="E7" s="767" t="s">
        <v>126</v>
      </c>
      <c r="F7" s="768" t="s">
        <v>126</v>
      </c>
      <c r="G7" s="768" t="s">
        <v>126</v>
      </c>
      <c r="H7" s="768" t="s">
        <v>126</v>
      </c>
      <c r="I7" s="777" t="s">
        <v>3</v>
      </c>
      <c r="J7" s="349">
        <f t="shared" si="5"/>
        <v>0</v>
      </c>
      <c r="K7" s="350">
        <f t="shared" si="6"/>
        <v>0</v>
      </c>
      <c r="L7" s="147" t="s">
        <v>3</v>
      </c>
      <c r="M7" s="349">
        <f t="shared" si="7"/>
        <v>0</v>
      </c>
      <c r="N7" s="350">
        <f t="shared" si="8"/>
        <v>0</v>
      </c>
      <c r="O7" s="147">
        <v>4002.3541150000001</v>
      </c>
      <c r="P7" s="349">
        <f t="shared" si="9"/>
        <v>0</v>
      </c>
      <c r="Q7" s="350">
        <f t="shared" si="10"/>
        <v>0</v>
      </c>
      <c r="R7" s="147">
        <v>4047.4812969999998</v>
      </c>
      <c r="S7" s="349">
        <f t="shared" si="11"/>
        <v>1.1275159744329466E-2</v>
      </c>
      <c r="T7" s="351">
        <f t="shared" si="12"/>
        <v>0</v>
      </c>
      <c r="U7" s="777">
        <v>4014.842893</v>
      </c>
      <c r="V7" s="349">
        <f t="shared" si="36"/>
        <v>-8.0638801281655015E-3</v>
      </c>
      <c r="W7" s="350">
        <f t="shared" si="13"/>
        <v>0</v>
      </c>
      <c r="X7" s="147">
        <v>4072.4588530000001</v>
      </c>
      <c r="Y7" s="349">
        <f t="shared" si="37"/>
        <v>1.4350738381433414E-2</v>
      </c>
      <c r="Z7" s="350">
        <f t="shared" si="14"/>
        <v>0</v>
      </c>
      <c r="AA7" s="147">
        <v>0</v>
      </c>
      <c r="AB7" s="349">
        <f t="shared" si="38"/>
        <v>-1</v>
      </c>
      <c r="AC7" s="350">
        <f t="shared" si="15"/>
        <v>-1</v>
      </c>
      <c r="AD7" s="147">
        <v>0</v>
      </c>
      <c r="AE7" s="349">
        <f t="shared" si="39"/>
        <v>0</v>
      </c>
      <c r="AF7" s="351">
        <f t="shared" si="16"/>
        <v>-1</v>
      </c>
      <c r="AG7" s="777">
        <v>4962.1186070000003</v>
      </c>
      <c r="AH7" s="349">
        <f t="shared" si="40"/>
        <v>0</v>
      </c>
      <c r="AI7" s="350">
        <f t="shared" si="17"/>
        <v>0.23594340781095169</v>
      </c>
      <c r="AJ7" s="147">
        <v>5003.6268540000001</v>
      </c>
      <c r="AK7" s="349">
        <f t="shared" si="41"/>
        <v>8.3650251611164794E-3</v>
      </c>
      <c r="AL7" s="350">
        <f t="shared" si="18"/>
        <v>0.22865006980096303</v>
      </c>
      <c r="AM7" s="147">
        <v>5176.1275990000004</v>
      </c>
      <c r="AN7" s="349">
        <f t="shared" si="42"/>
        <v>3.4475141738856907E-2</v>
      </c>
      <c r="AO7" s="350">
        <f t="shared" si="19"/>
        <v>0</v>
      </c>
      <c r="AP7" s="147">
        <v>5125.0814609999998</v>
      </c>
      <c r="AQ7" s="349">
        <f t="shared" si="43"/>
        <v>-9.8618391884045531E-3</v>
      </c>
      <c r="AR7" s="351">
        <f t="shared" si="20"/>
        <v>0</v>
      </c>
      <c r="AS7" s="777">
        <v>0</v>
      </c>
      <c r="AT7" s="349">
        <f t="shared" si="44"/>
        <v>-1</v>
      </c>
      <c r="AU7" s="350">
        <f t="shared" si="21"/>
        <v>-1</v>
      </c>
      <c r="AV7" s="147">
        <v>0</v>
      </c>
      <c r="AW7" s="349">
        <f t="shared" si="45"/>
        <v>0</v>
      </c>
      <c r="AX7" s="350">
        <f t="shared" si="22"/>
        <v>-1</v>
      </c>
      <c r="AY7" s="147">
        <v>0</v>
      </c>
      <c r="AZ7" s="349">
        <f t="shared" si="46"/>
        <v>0</v>
      </c>
      <c r="BA7" s="350">
        <f t="shared" si="23"/>
        <v>-1</v>
      </c>
      <c r="BB7" s="147">
        <v>20198.635245000001</v>
      </c>
      <c r="BC7" s="349">
        <f t="shared" si="47"/>
        <v>0</v>
      </c>
      <c r="BD7" s="351">
        <f t="shared" si="24"/>
        <v>2.9411344773159698</v>
      </c>
      <c r="BE7" s="617">
        <v>20394.319912999999</v>
      </c>
      <c r="BF7" s="349">
        <f t="shared" si="48"/>
        <v>9.6880143448523359E-3</v>
      </c>
      <c r="BG7" s="350">
        <f t="shared" si="0"/>
        <v>0</v>
      </c>
      <c r="BH7" s="618">
        <v>24603.642097</v>
      </c>
      <c r="BI7" s="349">
        <f t="shared" si="49"/>
        <v>0.20639679096711827</v>
      </c>
      <c r="BJ7" s="350">
        <f t="shared" si="1"/>
        <v>0</v>
      </c>
      <c r="BK7" s="618">
        <v>27834.790327999999</v>
      </c>
      <c r="BL7" s="349">
        <f t="shared" si="50"/>
        <v>0.13132804559020883</v>
      </c>
      <c r="BM7" s="350">
        <f t="shared" si="2"/>
        <v>0</v>
      </c>
      <c r="BN7" s="618">
        <v>28155.177630999999</v>
      </c>
      <c r="BO7" s="349">
        <f t="shared" si="51"/>
        <v>1.1510318533914488E-2</v>
      </c>
      <c r="BP7" s="351">
        <f t="shared" si="3"/>
        <v>0.39391485065653487</v>
      </c>
      <c r="BQ7" s="617">
        <v>28428.606500999998</v>
      </c>
      <c r="BR7" s="349">
        <f t="shared" si="52"/>
        <v>9.7114951140973016E-3</v>
      </c>
      <c r="BS7" s="350">
        <f t="shared" si="25"/>
        <v>0.3939472668014139</v>
      </c>
      <c r="BT7" s="618">
        <v>28641.943885000001</v>
      </c>
      <c r="BU7" s="349">
        <f t="shared" si="53"/>
        <v>7.5043208323453126E-3</v>
      </c>
      <c r="BV7" s="350">
        <f t="shared" si="26"/>
        <v>0.16413430873685186</v>
      </c>
      <c r="BW7" s="618">
        <v>28395.869461999999</v>
      </c>
      <c r="BX7" s="349">
        <f t="shared" si="54"/>
        <v>-8.5914009184576701E-3</v>
      </c>
      <c r="BY7" s="350">
        <f t="shared" si="27"/>
        <v>2.0157476574759414E-2</v>
      </c>
      <c r="BZ7" s="618">
        <v>0</v>
      </c>
      <c r="CA7" s="349">
        <f t="shared" si="55"/>
        <v>-1</v>
      </c>
      <c r="CB7" s="351">
        <f t="shared" si="28"/>
        <v>-1</v>
      </c>
      <c r="CC7" s="617">
        <v>0</v>
      </c>
      <c r="CD7" s="349">
        <f t="shared" si="56"/>
        <v>0</v>
      </c>
      <c r="CE7" s="350">
        <f t="shared" si="29"/>
        <v>-1</v>
      </c>
      <c r="CF7" s="618">
        <v>0</v>
      </c>
      <c r="CG7" s="349">
        <f t="shared" si="30"/>
        <v>0</v>
      </c>
      <c r="CH7" s="350">
        <f t="shared" si="31"/>
        <v>0</v>
      </c>
      <c r="CI7" s="618">
        <v>0</v>
      </c>
      <c r="CJ7" s="349">
        <f t="shared" si="32"/>
        <v>0</v>
      </c>
      <c r="CK7" s="350">
        <f t="shared" si="33"/>
        <v>0</v>
      </c>
      <c r="CL7" s="618"/>
      <c r="CM7" s="349">
        <f t="shared" si="34"/>
        <v>0</v>
      </c>
      <c r="CN7" s="351">
        <f t="shared" si="35"/>
        <v>-1</v>
      </c>
      <c r="CQ7" s="101"/>
      <c r="CR7" s="101"/>
      <c r="CS7" s="101"/>
    </row>
    <row r="8" spans="1:97" ht="13.2" x14ac:dyDescent="0.4">
      <c r="A8" s="156">
        <f t="shared" si="4"/>
        <v>7</v>
      </c>
      <c r="B8" s="32"/>
      <c r="C8" s="33" t="s">
        <v>414</v>
      </c>
      <c r="D8" s="147" t="s">
        <v>412</v>
      </c>
      <c r="E8" s="767">
        <v>1707.500722</v>
      </c>
      <c r="F8" s="768">
        <v>1998.6010000000001</v>
      </c>
      <c r="G8" s="768">
        <v>2725.0770000000002</v>
      </c>
      <c r="H8" s="768">
        <v>2132.5619999999999</v>
      </c>
      <c r="I8" s="777">
        <v>2677.04</v>
      </c>
      <c r="J8" s="349">
        <f t="shared" si="5"/>
        <v>0.25531637532695428</v>
      </c>
      <c r="K8" s="350">
        <f t="shared" si="6"/>
        <v>0.56781192857381413</v>
      </c>
      <c r="L8" s="147">
        <v>3902.7840000000001</v>
      </c>
      <c r="M8" s="349">
        <f t="shared" si="7"/>
        <v>0.45787287451812464</v>
      </c>
      <c r="N8" s="350">
        <f t="shared" si="8"/>
        <v>0.95275795418895504</v>
      </c>
      <c r="O8" s="147">
        <v>3058.9459999999999</v>
      </c>
      <c r="P8" s="349">
        <f t="shared" si="9"/>
        <v>-0.21621437414932521</v>
      </c>
      <c r="Q8" s="350">
        <f t="shared" si="10"/>
        <v>0.12251727198901152</v>
      </c>
      <c r="R8" s="147">
        <v>2513.42</v>
      </c>
      <c r="S8" s="349">
        <f t="shared" si="11"/>
        <v>-0.17833789808646505</v>
      </c>
      <c r="T8" s="351">
        <f t="shared" si="12"/>
        <v>0.17859175958307438</v>
      </c>
      <c r="U8" s="777">
        <v>3368.114</v>
      </c>
      <c r="V8" s="349">
        <f t="shared" si="36"/>
        <v>0.34005219979151913</v>
      </c>
      <c r="W8" s="350">
        <f t="shared" si="13"/>
        <v>0.25814855213220578</v>
      </c>
      <c r="X8" s="147">
        <v>2556.328</v>
      </c>
      <c r="Y8" s="349">
        <f t="shared" si="37"/>
        <v>-0.24102093931499946</v>
      </c>
      <c r="Z8" s="350">
        <f t="shared" si="14"/>
        <v>-0.3449988521014743</v>
      </c>
      <c r="AA8" s="147">
        <v>2729.0419999999999</v>
      </c>
      <c r="AB8" s="349">
        <f t="shared" si="38"/>
        <v>6.7563317383371846E-2</v>
      </c>
      <c r="AC8" s="350">
        <f t="shared" si="15"/>
        <v>-0.1078489126646891</v>
      </c>
      <c r="AD8" s="147">
        <v>3029.52</v>
      </c>
      <c r="AE8" s="349">
        <f t="shared" si="39"/>
        <v>0.11010383863641526</v>
      </c>
      <c r="AF8" s="351">
        <f t="shared" si="16"/>
        <v>0.20533774697424212</v>
      </c>
      <c r="AG8" s="777">
        <v>3816.9839999999999</v>
      </c>
      <c r="AH8" s="349">
        <f t="shared" si="40"/>
        <v>0.25993028598589873</v>
      </c>
      <c r="AI8" s="350">
        <f t="shared" si="17"/>
        <v>0.13327042968260572</v>
      </c>
      <c r="AJ8" s="147">
        <v>3401.9360000000001</v>
      </c>
      <c r="AK8" s="349">
        <f t="shared" si="41"/>
        <v>-0.10873716001953371</v>
      </c>
      <c r="AL8" s="350">
        <f t="shared" si="18"/>
        <v>0.33079010205263182</v>
      </c>
      <c r="AM8" s="147">
        <v>3267.4989999999998</v>
      </c>
      <c r="AN8" s="349">
        <f t="shared" si="42"/>
        <v>-3.951779222184082E-2</v>
      </c>
      <c r="AO8" s="350">
        <f t="shared" si="19"/>
        <v>0.19730623420233173</v>
      </c>
      <c r="AP8" s="147">
        <v>1722.3910000000001</v>
      </c>
      <c r="AQ8" s="349">
        <f t="shared" si="43"/>
        <v>-0.47287175910382828</v>
      </c>
      <c r="AR8" s="351">
        <f t="shared" si="20"/>
        <v>-0.43146406031318485</v>
      </c>
      <c r="AS8" s="777">
        <v>5335.4989999999998</v>
      </c>
      <c r="AT8" s="349">
        <f t="shared" si="44"/>
        <v>2.0977281000655483</v>
      </c>
      <c r="AU8" s="350">
        <f t="shared" si="21"/>
        <v>0.39783111482783262</v>
      </c>
      <c r="AV8" s="147">
        <v>4893.9189999999999</v>
      </c>
      <c r="AW8" s="349">
        <f t="shared" si="45"/>
        <v>-8.2762643194197905E-2</v>
      </c>
      <c r="AX8" s="350">
        <f t="shared" si="22"/>
        <v>0.43856880317560343</v>
      </c>
      <c r="AY8" s="147">
        <v>7961.7309999999998</v>
      </c>
      <c r="AZ8" s="349">
        <f t="shared" si="46"/>
        <v>0.62686203020524034</v>
      </c>
      <c r="BA8" s="350">
        <f t="shared" si="23"/>
        <v>1.4366437449560046</v>
      </c>
      <c r="BB8" s="147">
        <v>6862.3</v>
      </c>
      <c r="BC8" s="349">
        <f t="shared" si="47"/>
        <v>-0.13808944311230809</v>
      </c>
      <c r="BD8" s="351">
        <f t="shared" si="24"/>
        <v>2.9841708415801058</v>
      </c>
      <c r="BE8" s="617">
        <v>10193.546</v>
      </c>
      <c r="BF8" s="349">
        <f t="shared" si="48"/>
        <v>0.48544161578479517</v>
      </c>
      <c r="BG8" s="350">
        <f t="shared" si="0"/>
        <v>0.91051408687359903</v>
      </c>
      <c r="BH8" s="618">
        <v>12880.026</v>
      </c>
      <c r="BI8" s="349">
        <f t="shared" si="49"/>
        <v>0.26354715032433251</v>
      </c>
      <c r="BJ8" s="350">
        <f t="shared" si="1"/>
        <v>1.6318429054506214</v>
      </c>
      <c r="BK8" s="618">
        <v>16233.55</v>
      </c>
      <c r="BL8" s="349">
        <f t="shared" si="50"/>
        <v>0.26036624460230118</v>
      </c>
      <c r="BM8" s="350">
        <f t="shared" si="2"/>
        <v>1.0389473093225581</v>
      </c>
      <c r="BN8" s="618">
        <v>17255.562999999998</v>
      </c>
      <c r="BO8" s="349">
        <f t="shared" si="51"/>
        <v>6.2956839385100549E-2</v>
      </c>
      <c r="BP8" s="351">
        <f t="shared" si="3"/>
        <v>1.514545123355143</v>
      </c>
      <c r="BQ8" s="617">
        <v>23037.508000000002</v>
      </c>
      <c r="BR8" s="349">
        <f t="shared" si="52"/>
        <v>0.33507715743612687</v>
      </c>
      <c r="BS8" s="350">
        <f t="shared" si="25"/>
        <v>1.2600092254451987</v>
      </c>
      <c r="BT8" s="618">
        <v>30341.09</v>
      </c>
      <c r="BU8" s="349">
        <f t="shared" si="53"/>
        <v>0.31703003640845173</v>
      </c>
      <c r="BV8" s="350">
        <f t="shared" si="26"/>
        <v>1.3556699342066545</v>
      </c>
      <c r="BW8" s="618">
        <v>29982.37</v>
      </c>
      <c r="BX8" s="349">
        <f t="shared" si="54"/>
        <v>-1.1822910778749307E-2</v>
      </c>
      <c r="BY8" s="350">
        <f t="shared" si="27"/>
        <v>0.84693859322206166</v>
      </c>
      <c r="BZ8" s="618">
        <v>36937.003925999998</v>
      </c>
      <c r="CA8" s="349">
        <f t="shared" si="55"/>
        <v>0.23195744452489908</v>
      </c>
      <c r="CB8" s="351">
        <f t="shared" si="28"/>
        <v>1.1405852666760281</v>
      </c>
      <c r="CC8" s="617">
        <v>40216</v>
      </c>
      <c r="CD8" s="349">
        <f t="shared" si="56"/>
        <v>8.8772659541341836E-2</v>
      </c>
      <c r="CE8" s="350">
        <f t="shared" si="29"/>
        <v>0.74567492282585413</v>
      </c>
      <c r="CF8" s="618">
        <v>48972.260984</v>
      </c>
      <c r="CG8" s="349">
        <f t="shared" si="30"/>
        <v>0.217730778396658</v>
      </c>
      <c r="CH8" s="350">
        <f t="shared" si="31"/>
        <v>9.0067575666863302</v>
      </c>
      <c r="CI8" s="618">
        <v>57741.728236000003</v>
      </c>
      <c r="CJ8" s="349">
        <f t="shared" si="32"/>
        <v>0.17907009143125174</v>
      </c>
      <c r="CK8" s="350">
        <f t="shared" si="33"/>
        <v>6.2524088337071433</v>
      </c>
      <c r="CL8" s="618"/>
      <c r="CM8" s="349">
        <f t="shared" si="34"/>
        <v>-1</v>
      </c>
      <c r="CN8" s="351">
        <f t="shared" si="35"/>
        <v>-1</v>
      </c>
      <c r="CQ8" s="101"/>
      <c r="CR8" s="101"/>
      <c r="CS8" s="101"/>
    </row>
    <row r="9" spans="1:97" ht="13.2" x14ac:dyDescent="0.4">
      <c r="A9" s="156">
        <f t="shared" si="4"/>
        <v>8</v>
      </c>
      <c r="B9" s="32"/>
      <c r="C9" s="33" t="s">
        <v>415</v>
      </c>
      <c r="D9" s="147" t="s">
        <v>413</v>
      </c>
      <c r="E9" s="767">
        <v>234.19569000000001</v>
      </c>
      <c r="F9" s="768">
        <v>178.751</v>
      </c>
      <c r="G9" s="768">
        <v>343.12200000000001</v>
      </c>
      <c r="H9" s="768">
        <v>409.06799999999998</v>
      </c>
      <c r="I9" s="777">
        <v>797.09400000000005</v>
      </c>
      <c r="J9" s="349">
        <f t="shared" ref="J9" si="57">IFERROR(I9/H9-1,)</f>
        <v>0.94856111942268795</v>
      </c>
      <c r="K9" s="350">
        <f t="shared" ref="K9" si="58">IFERROR(I9/E9-1,)</f>
        <v>2.4035382973956523</v>
      </c>
      <c r="L9" s="147">
        <v>691.404</v>
      </c>
      <c r="M9" s="349">
        <f t="shared" ref="M9" si="59">IFERROR(L9/I9-1,)</f>
        <v>-0.13259414824349458</v>
      </c>
      <c r="N9" s="350">
        <f t="shared" ref="N9" si="60">IFERROR(L9/F9-1,)</f>
        <v>2.8679727665859209</v>
      </c>
      <c r="O9" s="147">
        <v>421.56</v>
      </c>
      <c r="P9" s="349">
        <f t="shared" ref="P9" si="61">IFERROR(O9/L9-1,)</f>
        <v>-0.39028411753475534</v>
      </c>
      <c r="Q9" s="350">
        <f t="shared" ref="Q9" si="62">IFERROR(O9/G9-1,)</f>
        <v>0.22860090580026915</v>
      </c>
      <c r="R9" s="147">
        <v>614.09299999999996</v>
      </c>
      <c r="S9" s="349">
        <f t="shared" ref="S9" si="63">IFERROR(R9/O9-1,)</f>
        <v>0.45671553278299637</v>
      </c>
      <c r="T9" s="351">
        <f t="shared" ref="T9" si="64">IFERROR(R9/H9-1,)</f>
        <v>0.50120028943843065</v>
      </c>
      <c r="U9" s="777">
        <v>673.79600000000005</v>
      </c>
      <c r="V9" s="349">
        <f t="shared" ref="V9" si="65">(IFERROR(U9/R9-1,0))</f>
        <v>9.7221430630214156E-2</v>
      </c>
      <c r="W9" s="350">
        <f t="shared" ref="W9" si="66">IFERROR(U9/I9-1,)</f>
        <v>-0.15468439105049092</v>
      </c>
      <c r="X9" s="147">
        <v>618.33100000000002</v>
      </c>
      <c r="Y9" s="349">
        <f t="shared" ref="Y9" si="67">(IFERROR(X9/U9-1,0))</f>
        <v>-8.2317199864647472E-2</v>
      </c>
      <c r="Z9" s="350">
        <f t="shared" ref="Z9" si="68">IFERROR(X9/L9-1,)</f>
        <v>-0.10568784675819054</v>
      </c>
      <c r="AA9" s="147">
        <v>372.01799999999997</v>
      </c>
      <c r="AB9" s="349">
        <f t="shared" ref="AB9" si="69">(IFERROR(AA9/X9-1,0))</f>
        <v>-0.39835136844182173</v>
      </c>
      <c r="AC9" s="350">
        <f t="shared" ref="AC9" si="70">IFERROR(AA9/O9-1,)</f>
        <v>-0.11752063763165388</v>
      </c>
      <c r="AD9" s="147">
        <v>437.346</v>
      </c>
      <c r="AE9" s="349">
        <f t="shared" ref="AE9" si="71">(IFERROR(AD9/AA9-1,0))</f>
        <v>0.1756044062384079</v>
      </c>
      <c r="AF9" s="351">
        <f t="shared" ref="AF9" si="72">IFERROR(AD9/R9-1,)</f>
        <v>-0.28781796893955791</v>
      </c>
      <c r="AG9" s="777">
        <v>620.20299999999997</v>
      </c>
      <c r="AH9" s="349">
        <f t="shared" ref="AH9" si="73">(IFERROR(AG9/AD9-1,0))</f>
        <v>0.41810603046558104</v>
      </c>
      <c r="AI9" s="350">
        <f t="shared" ref="AI9" si="74">IFERROR(AG9/U9-1,)</f>
        <v>-7.9538910886974845E-2</v>
      </c>
      <c r="AJ9" s="147">
        <v>452.04399999999998</v>
      </c>
      <c r="AK9" s="349">
        <f t="shared" ref="AK9" si="75">(IFERROR(AJ9/AG9-1,0))</f>
        <v>-0.2711354185645668</v>
      </c>
      <c r="AL9" s="350">
        <f t="shared" ref="AL9" si="76">IFERROR(AJ9/X9-1,)</f>
        <v>-0.26892877762881051</v>
      </c>
      <c r="AM9" s="147">
        <v>458.61599999999999</v>
      </c>
      <c r="AN9" s="349">
        <f t="shared" ref="AN9" si="77">(IFERROR(AM9/AJ9-1,0))</f>
        <v>1.4538407765615657E-2</v>
      </c>
      <c r="AO9" s="350">
        <f t="shared" ref="AO9" si="78">IFERROR(AM9/AA9-1,)</f>
        <v>0.23277905907778651</v>
      </c>
      <c r="AP9" s="147">
        <v>393.51100000000002</v>
      </c>
      <c r="AQ9" s="349">
        <f t="shared" ref="AQ9" si="79">(IFERROR(AP9/AM9-1,0))</f>
        <v>-0.14195972229490461</v>
      </c>
      <c r="AR9" s="351">
        <f t="shared" ref="AR9" si="80">IFERROR(AP9/AD9-1,)</f>
        <v>-0.10022956652170134</v>
      </c>
      <c r="AS9" s="777">
        <v>611.11500000000001</v>
      </c>
      <c r="AT9" s="349">
        <f t="shared" ref="AT9" si="81">(IFERROR(AS9/AP9-1,0))</f>
        <v>0.55298072989065106</v>
      </c>
      <c r="AU9" s="350">
        <f t="shared" ref="AU9" si="82">IFERROR(AS9/AG9-1,)</f>
        <v>-1.4653266752982397E-2</v>
      </c>
      <c r="AV9" s="147">
        <v>455.709</v>
      </c>
      <c r="AW9" s="349">
        <f t="shared" ref="AW9" si="83">(IFERROR(AV9/AS9-1,0))</f>
        <v>-0.25429910900566999</v>
      </c>
      <c r="AX9" s="350">
        <f t="shared" ref="AX9" si="84">IFERROR(AV9/AJ9-1,)</f>
        <v>8.1076178425110168E-3</v>
      </c>
      <c r="AY9" s="147">
        <v>606.58000000000004</v>
      </c>
      <c r="AZ9" s="349">
        <f t="shared" ref="AZ9" si="85">(IFERROR(AY9/AV9-1,0))</f>
        <v>0.33106873026426964</v>
      </c>
      <c r="BA9" s="350">
        <f t="shared" ref="BA9" si="86">IFERROR(AY9/AM9-1,)</f>
        <v>0.32263156976642793</v>
      </c>
      <c r="BB9" s="147">
        <v>1141.683</v>
      </c>
      <c r="BC9" s="349">
        <f t="shared" ref="BC9" si="87">(IFERROR(BB9/AY9-1,0))</f>
        <v>0.88216393550727012</v>
      </c>
      <c r="BD9" s="351">
        <f t="shared" ref="BD9" si="88">IFERROR(BB9/AP9-1,)</f>
        <v>1.9012734078589921</v>
      </c>
      <c r="BE9" s="617">
        <v>1034.9549999999999</v>
      </c>
      <c r="BF9" s="349">
        <f t="shared" ref="BF9" si="89">(IFERROR(BE9/BB9-1,0))</f>
        <v>-9.3483042140419026E-2</v>
      </c>
      <c r="BG9" s="350">
        <f t="shared" ref="BG9" si="90">IFERROR(BE9/AS9-1,)</f>
        <v>0.69355195012395354</v>
      </c>
      <c r="BH9" s="618">
        <v>774.04700000000003</v>
      </c>
      <c r="BI9" s="349">
        <f t="shared" ref="BI9" si="91">(IFERROR(BH9/BE9-1,0))</f>
        <v>-0.25209598484958273</v>
      </c>
      <c r="BJ9" s="350">
        <f t="shared" ref="BJ9" si="92">IFERROR(BH9/AV9-1,)</f>
        <v>0.69855543779034424</v>
      </c>
      <c r="BK9" s="618">
        <v>1195.6500000000001</v>
      </c>
      <c r="BL9" s="349">
        <f t="shared" ref="BL9" si="93">(IFERROR(BK9/BH9-1,0))</f>
        <v>0.54467364384850026</v>
      </c>
      <c r="BM9" s="350">
        <f t="shared" ref="BM9" si="94">IFERROR(BK9/AY9-1,)</f>
        <v>0.97113323881433611</v>
      </c>
      <c r="BN9" s="618">
        <v>455.27699999999999</v>
      </c>
      <c r="BO9" s="349">
        <f t="shared" ref="BO9" si="95">(IFERROR(BN9/BK9-1,0))</f>
        <v>-0.61922218040396437</v>
      </c>
      <c r="BP9" s="351">
        <f t="shared" ref="BP9" si="96">IFERROR(BN9/BB9-1,)</f>
        <v>-0.6012229314091565</v>
      </c>
      <c r="BQ9" s="617">
        <v>980.75099999999998</v>
      </c>
      <c r="BR9" s="349">
        <f t="shared" ref="BR9" si="97">(IFERROR(BQ9/BN9-1,0))</f>
        <v>1.1541852542518072</v>
      </c>
      <c r="BS9" s="350">
        <f t="shared" ref="BS9" si="98">IFERROR(BQ9/BE9-1,)</f>
        <v>-5.2373291592388016E-2</v>
      </c>
      <c r="BT9" s="618">
        <v>1508.1</v>
      </c>
      <c r="BU9" s="349">
        <f t="shared" ref="BU9" si="99">(IFERROR(BT9/BQ9-1,0))</f>
        <v>0.53769917134930267</v>
      </c>
      <c r="BV9" s="350">
        <f t="shared" ref="BV9" si="100">IFERROR(BT9/BH9-1,)</f>
        <v>0.94833130287954082</v>
      </c>
      <c r="BW9" s="618">
        <v>2857.56</v>
      </c>
      <c r="BX9" s="349">
        <f t="shared" ref="BX9" si="101">(IFERROR(BW9/BT9-1,0))</f>
        <v>0.89480803660234742</v>
      </c>
      <c r="BY9" s="350">
        <f t="shared" ref="BY9" si="102">IFERROR(BW9/BK9-1,)</f>
        <v>1.3899636181156692</v>
      </c>
      <c r="BZ9" s="618">
        <v>3586.2694080000001</v>
      </c>
      <c r="CA9" s="349">
        <f t="shared" ref="CA9" si="103">(IFERROR(BZ9/BW9-1,0))</f>
        <v>0.25501106118506711</v>
      </c>
      <c r="CB9" s="351">
        <f t="shared" ref="CB9" si="104">IFERROR(BZ9/BN9-1,)</f>
        <v>6.877115268287219</v>
      </c>
      <c r="CC9" s="617">
        <v>4001</v>
      </c>
      <c r="CD9" s="349">
        <f t="shared" ref="CD9" si="105">(IFERROR(CC9/BZ9-1,0))</f>
        <v>0.11564401466182317</v>
      </c>
      <c r="CE9" s="350">
        <f t="shared" ref="CE9" si="106">IFERROR(CC9/BQ9-1,)</f>
        <v>3.0795268115964198</v>
      </c>
      <c r="CF9" s="618">
        <v>3443.396495</v>
      </c>
      <c r="CG9" s="349">
        <f t="shared" ref="CG9" si="107">IFERROR(CF9/CC9-1,)</f>
        <v>-0.1393660347413147</v>
      </c>
      <c r="CH9" s="350">
        <f t="shared" ref="CH9" si="108">IFERROR(CF9/AV9-1,)</f>
        <v>6.5561301071517128</v>
      </c>
      <c r="CI9" s="618">
        <v>4372.9284070000003</v>
      </c>
      <c r="CJ9" s="349">
        <f t="shared" ref="CJ9" si="109">IFERROR(CI9/CF9-1,)</f>
        <v>0.26994623284008434</v>
      </c>
      <c r="CK9" s="350">
        <f t="shared" ref="CK9" si="110">IFERROR(CI9/AY9-1,)</f>
        <v>6.2091536268917542</v>
      </c>
      <c r="CL9" s="618"/>
      <c r="CM9" s="349">
        <f t="shared" ref="CM9" si="111">IFERROR(CL9/CI9-1,)</f>
        <v>-1</v>
      </c>
      <c r="CN9" s="351">
        <f t="shared" ref="CN9" si="112">IFERROR(CL9/BB9-1,)</f>
        <v>-1</v>
      </c>
      <c r="CQ9" s="21"/>
      <c r="CR9" s="21"/>
      <c r="CS9" s="21"/>
    </row>
    <row r="10" spans="1:97" ht="13.2" x14ac:dyDescent="0.4">
      <c r="A10" s="156">
        <f t="shared" si="4"/>
        <v>9</v>
      </c>
      <c r="B10" s="32"/>
      <c r="C10" s="33" t="s">
        <v>134</v>
      </c>
      <c r="D10" s="34" t="s">
        <v>15</v>
      </c>
      <c r="E10" s="767">
        <v>5073.6190749999996</v>
      </c>
      <c r="F10" s="768">
        <v>4701.8100649999997</v>
      </c>
      <c r="G10" s="768">
        <v>4850.5691049999996</v>
      </c>
      <c r="H10" s="768">
        <v>5906.6032720000003</v>
      </c>
      <c r="I10" s="777">
        <v>6407.3697910000001</v>
      </c>
      <c r="J10" s="349">
        <f t="shared" si="5"/>
        <v>8.4780794636041046E-2</v>
      </c>
      <c r="K10" s="350">
        <f t="shared" si="6"/>
        <v>0.26287955329007451</v>
      </c>
      <c r="L10" s="147">
        <v>6137.5351039999996</v>
      </c>
      <c r="M10" s="349">
        <f t="shared" si="7"/>
        <v>-4.2113175265616642E-2</v>
      </c>
      <c r="N10" s="350">
        <f t="shared" si="8"/>
        <v>0.30535581385718946</v>
      </c>
      <c r="O10" s="147">
        <v>7680.838025</v>
      </c>
      <c r="P10" s="349">
        <f t="shared" si="9"/>
        <v>0.25145321286947708</v>
      </c>
      <c r="Q10" s="350">
        <f t="shared" si="10"/>
        <v>0.58349213437296266</v>
      </c>
      <c r="R10" s="147">
        <v>8722.7339310000007</v>
      </c>
      <c r="S10" s="349">
        <f t="shared" si="11"/>
        <v>0.13564872773111247</v>
      </c>
      <c r="T10" s="351">
        <f t="shared" si="12"/>
        <v>0.47677667338007068</v>
      </c>
      <c r="U10" s="777">
        <v>9408.7447699999993</v>
      </c>
      <c r="V10" s="349">
        <f t="shared" si="36"/>
        <v>7.864631025394031E-2</v>
      </c>
      <c r="W10" s="350">
        <f t="shared" si="13"/>
        <v>0.46842543460123509</v>
      </c>
      <c r="X10" s="147">
        <v>11140.338174</v>
      </c>
      <c r="Y10" s="349">
        <f t="shared" si="37"/>
        <v>0.18404085202961684</v>
      </c>
      <c r="Z10" s="350">
        <f t="shared" si="14"/>
        <v>0.81511600100495341</v>
      </c>
      <c r="AA10" s="147">
        <v>12089.852884</v>
      </c>
      <c r="AB10" s="349">
        <f t="shared" si="38"/>
        <v>8.5232126275666786E-2</v>
      </c>
      <c r="AC10" s="350">
        <f t="shared" si="15"/>
        <v>0.57402783975515481</v>
      </c>
      <c r="AD10" s="147">
        <v>9940.2947380000005</v>
      </c>
      <c r="AE10" s="349">
        <f t="shared" si="39"/>
        <v>-0.17779853622906994</v>
      </c>
      <c r="AF10" s="351">
        <f t="shared" si="16"/>
        <v>0.13958476970997258</v>
      </c>
      <c r="AG10" s="777">
        <v>9188.7777580000002</v>
      </c>
      <c r="AH10" s="349">
        <f t="shared" si="40"/>
        <v>-7.5603088219012515E-2</v>
      </c>
      <c r="AI10" s="350">
        <f t="shared" si="17"/>
        <v>-2.3378996601264967E-2</v>
      </c>
      <c r="AJ10" s="147">
        <v>10023.948367000001</v>
      </c>
      <c r="AK10" s="349">
        <f t="shared" si="41"/>
        <v>9.0890282798806288E-2</v>
      </c>
      <c r="AL10" s="350">
        <f t="shared" si="18"/>
        <v>-0.10021148277217451</v>
      </c>
      <c r="AM10" s="147">
        <v>12690.405835</v>
      </c>
      <c r="AN10" s="349">
        <f t="shared" si="42"/>
        <v>0.26600869940414751</v>
      </c>
      <c r="AO10" s="350">
        <f t="shared" si="19"/>
        <v>4.9674132246454894E-2</v>
      </c>
      <c r="AP10" s="147">
        <v>16465.363683</v>
      </c>
      <c r="AQ10" s="349">
        <f t="shared" si="43"/>
        <v>0.29746549456981963</v>
      </c>
      <c r="AR10" s="351">
        <f t="shared" si="20"/>
        <v>0.6564261037508079</v>
      </c>
      <c r="AS10" s="777">
        <v>18897.354263000001</v>
      </c>
      <c r="AT10" s="349">
        <f t="shared" si="44"/>
        <v>0.14770342318712104</v>
      </c>
      <c r="AU10" s="350">
        <f t="shared" si="21"/>
        <v>1.0565688670125306</v>
      </c>
      <c r="AV10" s="147">
        <v>22425.612138</v>
      </c>
      <c r="AW10" s="349">
        <f t="shared" si="45"/>
        <v>0.18670644715107754</v>
      </c>
      <c r="AX10" s="350">
        <f t="shared" si="22"/>
        <v>1.2372034768083715</v>
      </c>
      <c r="AY10" s="147">
        <v>25110.388919000001</v>
      </c>
      <c r="AZ10" s="349">
        <f t="shared" si="46"/>
        <v>0.11971921945669739</v>
      </c>
      <c r="BA10" s="350">
        <f t="shared" si="23"/>
        <v>0.978690772027623</v>
      </c>
      <c r="BB10" s="147">
        <v>23397.666986</v>
      </c>
      <c r="BC10" s="349">
        <f t="shared" si="47"/>
        <v>-6.8207702338853649E-2</v>
      </c>
      <c r="BD10" s="351">
        <f t="shared" si="24"/>
        <v>0.42102339410561562</v>
      </c>
      <c r="BE10" s="617">
        <v>22444.798663000001</v>
      </c>
      <c r="BF10" s="349">
        <f t="shared" si="48"/>
        <v>-4.0724928838851704E-2</v>
      </c>
      <c r="BG10" s="350">
        <f t="shared" si="0"/>
        <v>0.18772174933216479</v>
      </c>
      <c r="BH10" s="618">
        <v>22393.907862</v>
      </c>
      <c r="BI10" s="349">
        <f t="shared" si="49"/>
        <v>-2.2673761419786942E-3</v>
      </c>
      <c r="BJ10" s="350">
        <f t="shared" si="1"/>
        <v>-1.4137529805162696E-3</v>
      </c>
      <c r="BK10" s="618">
        <v>21607.03225</v>
      </c>
      <c r="BL10" s="349">
        <f t="shared" si="50"/>
        <v>-3.513793201477089E-2</v>
      </c>
      <c r="BM10" s="350">
        <f t="shared" si="2"/>
        <v>-0.13951821615750259</v>
      </c>
      <c r="BN10" s="618">
        <v>19434.327936000002</v>
      </c>
      <c r="BO10" s="349">
        <f t="shared" si="51"/>
        <v>-0.10055542514405225</v>
      </c>
      <c r="BP10" s="351">
        <f t="shared" si="3"/>
        <v>-0.16939035213944464</v>
      </c>
      <c r="BQ10" s="617">
        <v>19355.875768000002</v>
      </c>
      <c r="BR10" s="349">
        <f t="shared" si="52"/>
        <v>-4.036783173483216E-3</v>
      </c>
      <c r="BS10" s="350">
        <f t="shared" si="25"/>
        <v>-0.13762310553010459</v>
      </c>
      <c r="BT10" s="618">
        <v>17860.255970999999</v>
      </c>
      <c r="BU10" s="349">
        <f t="shared" si="53"/>
        <v>-7.7269549305158725E-2</v>
      </c>
      <c r="BV10" s="350">
        <f t="shared" si="26"/>
        <v>-0.20245023418592833</v>
      </c>
      <c r="BW10" s="618">
        <v>16736.942158999998</v>
      </c>
      <c r="BX10" s="349">
        <f t="shared" si="54"/>
        <v>-6.2894608779624717E-2</v>
      </c>
      <c r="BY10" s="350">
        <f t="shared" si="27"/>
        <v>-0.22539375304537723</v>
      </c>
      <c r="BZ10" s="618">
        <v>29999.806868</v>
      </c>
      <c r="CA10" s="349">
        <f t="shared" si="55"/>
        <v>0.79243057560954333</v>
      </c>
      <c r="CB10" s="351">
        <f t="shared" si="28"/>
        <v>0.54365033701158172</v>
      </c>
      <c r="CC10" s="617">
        <v>30415</v>
      </c>
      <c r="CD10" s="349">
        <f t="shared" si="56"/>
        <v>1.3839860163995743E-2</v>
      </c>
      <c r="CE10" s="350">
        <f t="shared" si="29"/>
        <v>0.57135747121726399</v>
      </c>
      <c r="CF10" s="618">
        <v>30085.433391999999</v>
      </c>
      <c r="CG10" s="349">
        <f t="shared" si="30"/>
        <v>-1.0835660299194472E-2</v>
      </c>
      <c r="CH10" s="350">
        <f t="shared" si="31"/>
        <v>0.34156576002759365</v>
      </c>
      <c r="CI10" s="618">
        <v>31261.395182</v>
      </c>
      <c r="CJ10" s="349">
        <f t="shared" si="32"/>
        <v>3.9087413987950015E-2</v>
      </c>
      <c r="CK10" s="350">
        <f t="shared" si="33"/>
        <v>0.24495862182149586</v>
      </c>
      <c r="CL10" s="618"/>
      <c r="CM10" s="349">
        <f t="shared" si="34"/>
        <v>-1</v>
      </c>
      <c r="CN10" s="351">
        <f t="shared" si="35"/>
        <v>-1</v>
      </c>
      <c r="CQ10" s="101"/>
      <c r="CR10" s="101"/>
      <c r="CS10" s="101"/>
    </row>
    <row r="11" spans="1:97" ht="13.2" x14ac:dyDescent="0.4">
      <c r="A11" s="156">
        <f t="shared" si="4"/>
        <v>10</v>
      </c>
      <c r="B11" s="32"/>
      <c r="C11" s="33" t="s">
        <v>135</v>
      </c>
      <c r="D11" s="34" t="s">
        <v>421</v>
      </c>
      <c r="E11" s="767">
        <v>17.670784999999999</v>
      </c>
      <c r="F11" s="768">
        <v>40.837012000000001</v>
      </c>
      <c r="G11" s="768">
        <v>54.243912999999999</v>
      </c>
      <c r="H11" s="768">
        <v>82.696438000000001</v>
      </c>
      <c r="I11" s="777">
        <v>118.15539</v>
      </c>
      <c r="J11" s="349">
        <f t="shared" si="5"/>
        <v>0.42878451427375874</v>
      </c>
      <c r="K11" s="350">
        <f t="shared" si="6"/>
        <v>5.6864822360749683</v>
      </c>
      <c r="L11" s="147">
        <v>0</v>
      </c>
      <c r="M11" s="349">
        <f t="shared" si="7"/>
        <v>-1</v>
      </c>
      <c r="N11" s="350">
        <f t="shared" si="8"/>
        <v>-1</v>
      </c>
      <c r="O11" s="147">
        <v>14.492055000000001</v>
      </c>
      <c r="P11" s="349">
        <f t="shared" si="9"/>
        <v>0</v>
      </c>
      <c r="Q11" s="350">
        <f t="shared" si="10"/>
        <v>-0.73283536901181889</v>
      </c>
      <c r="R11" s="147">
        <v>35.646574000000001</v>
      </c>
      <c r="S11" s="349">
        <f t="shared" si="11"/>
        <v>1.4597321773896113</v>
      </c>
      <c r="T11" s="351">
        <f t="shared" si="12"/>
        <v>-0.56894668183894448</v>
      </c>
      <c r="U11" s="777">
        <v>65.638727000000003</v>
      </c>
      <c r="V11" s="349">
        <f t="shared" si="36"/>
        <v>0.84137547131457846</v>
      </c>
      <c r="W11" s="350">
        <f t="shared" si="13"/>
        <v>-0.44447115785407665</v>
      </c>
      <c r="X11" s="147">
        <v>80.778049999999993</v>
      </c>
      <c r="Y11" s="349">
        <f t="shared" si="37"/>
        <v>0.23064620067966879</v>
      </c>
      <c r="Z11" s="350">
        <f t="shared" si="14"/>
        <v>0</v>
      </c>
      <c r="AA11" s="147">
        <v>23.339203999999999</v>
      </c>
      <c r="AB11" s="349">
        <f t="shared" si="38"/>
        <v>-0.71106997507367409</v>
      </c>
      <c r="AC11" s="350">
        <f t="shared" si="15"/>
        <v>0.61048270931900261</v>
      </c>
      <c r="AD11" s="147">
        <v>1467.640085</v>
      </c>
      <c r="AE11" s="349">
        <f t="shared" si="39"/>
        <v>61.883039412997981</v>
      </c>
      <c r="AF11" s="351">
        <f t="shared" si="16"/>
        <v>40.171981492527159</v>
      </c>
      <c r="AG11" s="777">
        <v>861.73877100000004</v>
      </c>
      <c r="AH11" s="349">
        <f t="shared" si="40"/>
        <v>-0.41284053235708673</v>
      </c>
      <c r="AI11" s="350">
        <f t="shared" si="17"/>
        <v>12.128511328380881</v>
      </c>
      <c r="AJ11" s="147">
        <v>817.86345500000004</v>
      </c>
      <c r="AK11" s="349">
        <f t="shared" si="41"/>
        <v>-5.0914868260000801E-2</v>
      </c>
      <c r="AL11" s="350">
        <f t="shared" si="18"/>
        <v>9.1248229562362564</v>
      </c>
      <c r="AM11" s="147">
        <v>947.86345500000004</v>
      </c>
      <c r="AN11" s="349">
        <f t="shared" si="42"/>
        <v>0.15895073829897433</v>
      </c>
      <c r="AO11" s="350">
        <f t="shared" si="19"/>
        <v>39.612501394649108</v>
      </c>
      <c r="AP11" s="147">
        <v>905.86345500000004</v>
      </c>
      <c r="AQ11" s="349">
        <f t="shared" si="43"/>
        <v>-4.4310179676670836E-2</v>
      </c>
      <c r="AR11" s="351">
        <f t="shared" si="20"/>
        <v>-0.38277547454694927</v>
      </c>
      <c r="AS11" s="777">
        <v>1828.8634549999999</v>
      </c>
      <c r="AT11" s="349">
        <f t="shared" si="44"/>
        <v>1.0189173599016641</v>
      </c>
      <c r="AU11" s="350">
        <f t="shared" si="21"/>
        <v>1.1222945010095176</v>
      </c>
      <c r="AV11" s="147">
        <v>1881</v>
      </c>
      <c r="AW11" s="349">
        <f t="shared" si="45"/>
        <v>2.8507620324230265E-2</v>
      </c>
      <c r="AX11" s="350">
        <f t="shared" si="22"/>
        <v>1.2998949133874675</v>
      </c>
      <c r="AY11" s="147">
        <v>1491.8205009999999</v>
      </c>
      <c r="AZ11" s="349">
        <f t="shared" si="46"/>
        <v>-0.20690031844763423</v>
      </c>
      <c r="BA11" s="350">
        <f t="shared" si="23"/>
        <v>0.57387701058693086</v>
      </c>
      <c r="BB11" s="147">
        <v>2076.639142</v>
      </c>
      <c r="BC11" s="349">
        <f t="shared" si="47"/>
        <v>0.39201676113713635</v>
      </c>
      <c r="BD11" s="351">
        <f t="shared" si="24"/>
        <v>1.2924416815114812</v>
      </c>
      <c r="BE11" s="617">
        <v>1960.6778939999999</v>
      </c>
      <c r="BF11" s="349">
        <f t="shared" si="48"/>
        <v>-5.5840827447911079E-2</v>
      </c>
      <c r="BG11" s="350">
        <f t="shared" si="0"/>
        <v>7.2074510887965682E-2</v>
      </c>
      <c r="BH11" s="618">
        <v>1243.1250829999999</v>
      </c>
      <c r="BI11" s="349">
        <f t="shared" si="49"/>
        <v>-0.36597179638523536</v>
      </c>
      <c r="BJ11" s="350">
        <f t="shared" si="1"/>
        <v>-0.33911478841042009</v>
      </c>
      <c r="BK11" s="618">
        <v>1677.746502</v>
      </c>
      <c r="BL11" s="349">
        <f t="shared" si="50"/>
        <v>0.3496200221068182</v>
      </c>
      <c r="BM11" s="350">
        <f t="shared" si="2"/>
        <v>0.12463027614607114</v>
      </c>
      <c r="BN11" s="618">
        <v>1432.729934</v>
      </c>
      <c r="BO11" s="349">
        <f t="shared" si="51"/>
        <v>-0.14603908737578764</v>
      </c>
      <c r="BP11" s="351">
        <f t="shared" si="3"/>
        <v>-0.31007274926921324</v>
      </c>
      <c r="BQ11" s="617">
        <v>2018.119113</v>
      </c>
      <c r="BR11" s="349">
        <f t="shared" si="52"/>
        <v>0.40858305889210245</v>
      </c>
      <c r="BS11" s="350">
        <f t="shared" si="25"/>
        <v>2.9296611736063127E-2</v>
      </c>
      <c r="BT11" s="618">
        <v>2118.3246989999998</v>
      </c>
      <c r="BU11" s="349">
        <f t="shared" si="53"/>
        <v>4.9652959210638947E-2</v>
      </c>
      <c r="BV11" s="350">
        <f t="shared" si="26"/>
        <v>0.70403182106816198</v>
      </c>
      <c r="BW11" s="618">
        <v>40836.180669999994</v>
      </c>
      <c r="BX11" s="349">
        <f t="shared" si="54"/>
        <v>18.277583219077595</v>
      </c>
      <c r="BY11" s="350">
        <f t="shared" si="27"/>
        <v>23.339899157185066</v>
      </c>
      <c r="BZ11" s="822">
        <v>0</v>
      </c>
      <c r="CA11" s="823"/>
      <c r="CB11" s="824"/>
      <c r="CC11" s="825">
        <v>0</v>
      </c>
      <c r="CD11" s="823"/>
      <c r="CE11" s="826"/>
      <c r="CF11" s="822">
        <v>0</v>
      </c>
      <c r="CG11" s="823"/>
      <c r="CH11" s="826"/>
      <c r="CI11" s="822">
        <v>0</v>
      </c>
      <c r="CJ11" s="349">
        <f t="shared" si="32"/>
        <v>0</v>
      </c>
      <c r="CK11" s="350">
        <f t="shared" si="33"/>
        <v>-1</v>
      </c>
      <c r="CL11" s="618"/>
      <c r="CM11" s="349">
        <f t="shared" si="34"/>
        <v>0</v>
      </c>
      <c r="CN11" s="351">
        <f t="shared" si="35"/>
        <v>-1</v>
      </c>
      <c r="CQ11" s="101"/>
      <c r="CR11" s="101"/>
      <c r="CS11" s="101"/>
    </row>
    <row r="12" spans="1:97" ht="16.2" customHeight="1" x14ac:dyDescent="0.4">
      <c r="A12" s="156">
        <f t="shared" si="4"/>
        <v>11</v>
      </c>
      <c r="B12" s="32"/>
      <c r="C12" s="33" t="s">
        <v>136</v>
      </c>
      <c r="D12" s="34" t="s">
        <v>74</v>
      </c>
      <c r="E12" s="767">
        <v>821.07459900000003</v>
      </c>
      <c r="F12" s="768">
        <v>849.92746899999997</v>
      </c>
      <c r="G12" s="768">
        <v>781.18953899999997</v>
      </c>
      <c r="H12" s="768">
        <v>1589.9533960000001</v>
      </c>
      <c r="I12" s="777">
        <v>1294.8050109999999</v>
      </c>
      <c r="J12" s="349">
        <f t="shared" si="5"/>
        <v>-0.18563335613643372</v>
      </c>
      <c r="K12" s="350">
        <f t="shared" si="6"/>
        <v>0.5769639111683198</v>
      </c>
      <c r="L12" s="147">
        <v>503.98596800000001</v>
      </c>
      <c r="M12" s="349">
        <f t="shared" si="7"/>
        <v>-0.61076303866729464</v>
      </c>
      <c r="N12" s="350">
        <f t="shared" si="8"/>
        <v>-0.40702473283634977</v>
      </c>
      <c r="O12" s="147">
        <v>1015.658048</v>
      </c>
      <c r="P12" s="349">
        <f t="shared" si="9"/>
        <v>1.0152506468195956</v>
      </c>
      <c r="Q12" s="350">
        <f t="shared" si="10"/>
        <v>0.30014291960455974</v>
      </c>
      <c r="R12" s="147">
        <v>737.09434799999997</v>
      </c>
      <c r="S12" s="349">
        <f t="shared" si="11"/>
        <v>-0.27426918001441369</v>
      </c>
      <c r="T12" s="351">
        <f t="shared" si="12"/>
        <v>-0.53640506076820893</v>
      </c>
      <c r="U12" s="777">
        <v>2225.8332789999999</v>
      </c>
      <c r="V12" s="349">
        <f t="shared" si="36"/>
        <v>2.0197399899205304</v>
      </c>
      <c r="W12" s="350">
        <f t="shared" si="13"/>
        <v>0.71904901517252484</v>
      </c>
      <c r="X12" s="147">
        <v>1468.6935619999999</v>
      </c>
      <c r="Y12" s="349">
        <f t="shared" si="37"/>
        <v>-0.3401601207706626</v>
      </c>
      <c r="Z12" s="350">
        <f t="shared" si="14"/>
        <v>1.9141556615719106</v>
      </c>
      <c r="AA12" s="147">
        <v>596.36703399999999</v>
      </c>
      <c r="AB12" s="349">
        <f t="shared" si="38"/>
        <v>-0.59394726753762406</v>
      </c>
      <c r="AC12" s="350">
        <f t="shared" si="15"/>
        <v>-0.41282694980427115</v>
      </c>
      <c r="AD12" s="147">
        <v>511.85772800000001</v>
      </c>
      <c r="AE12" s="349">
        <f t="shared" si="39"/>
        <v>-0.14170687040357088</v>
      </c>
      <c r="AF12" s="351">
        <f t="shared" si="16"/>
        <v>-0.30557366314250989</v>
      </c>
      <c r="AG12" s="777">
        <v>2562.5063919999998</v>
      </c>
      <c r="AH12" s="349">
        <f t="shared" si="40"/>
        <v>4.0062864187135991</v>
      </c>
      <c r="AI12" s="350">
        <f t="shared" si="17"/>
        <v>0.15125711174165613</v>
      </c>
      <c r="AJ12" s="147">
        <v>2446.29108</v>
      </c>
      <c r="AK12" s="349">
        <f t="shared" si="41"/>
        <v>-4.5352203749741804E-2</v>
      </c>
      <c r="AL12" s="350">
        <f t="shared" si="18"/>
        <v>0.66562388730617994</v>
      </c>
      <c r="AM12" s="147">
        <v>5727.0061640000004</v>
      </c>
      <c r="AN12" s="349">
        <f t="shared" si="42"/>
        <v>1.34109759497631</v>
      </c>
      <c r="AO12" s="350">
        <f t="shared" si="19"/>
        <v>8.6031568438439212</v>
      </c>
      <c r="AP12" s="147">
        <v>5715.1206309999998</v>
      </c>
      <c r="AQ12" s="349">
        <f t="shared" si="43"/>
        <v>-2.0753483861626343E-3</v>
      </c>
      <c r="AR12" s="351">
        <f t="shared" si="20"/>
        <v>10.165447581168491</v>
      </c>
      <c r="AS12" s="777">
        <v>8540.7059009999994</v>
      </c>
      <c r="AT12" s="349">
        <f t="shared" si="44"/>
        <v>0.49440518449837079</v>
      </c>
      <c r="AU12" s="350">
        <f t="shared" si="21"/>
        <v>2.3329500865494817</v>
      </c>
      <c r="AV12" s="147">
        <v>3564.5272020000002</v>
      </c>
      <c r="AW12" s="349">
        <f t="shared" si="45"/>
        <v>-0.58264255398577269</v>
      </c>
      <c r="AX12" s="350">
        <f t="shared" si="22"/>
        <v>0.45711490801004762</v>
      </c>
      <c r="AY12" s="147">
        <v>3332.322498</v>
      </c>
      <c r="AZ12" s="349">
        <f t="shared" si="46"/>
        <v>-6.5143198758509602E-2</v>
      </c>
      <c r="BA12" s="350">
        <f t="shared" si="23"/>
        <v>-0.41813883160332499</v>
      </c>
      <c r="BB12" s="147">
        <v>2705.3074799999999</v>
      </c>
      <c r="BC12" s="349">
        <f t="shared" si="47"/>
        <v>-0.18816156550763719</v>
      </c>
      <c r="BD12" s="351">
        <f t="shared" si="24"/>
        <v>-0.52664035377908713</v>
      </c>
      <c r="BE12" s="617">
        <v>3831.1789170000002</v>
      </c>
      <c r="BF12" s="349">
        <f t="shared" si="48"/>
        <v>0.41617133923719463</v>
      </c>
      <c r="BG12" s="350">
        <f t="shared" si="0"/>
        <v>-0.55142128046448458</v>
      </c>
      <c r="BH12" s="618">
        <v>3222.8782970000002</v>
      </c>
      <c r="BI12" s="349">
        <f t="shared" si="49"/>
        <v>-0.15877635400967627</v>
      </c>
      <c r="BJ12" s="350">
        <f t="shared" si="1"/>
        <v>-9.5846906374653651E-2</v>
      </c>
      <c r="BK12" s="618">
        <v>10766.058768999999</v>
      </c>
      <c r="BL12" s="349">
        <f t="shared" si="50"/>
        <v>2.3405104930650129</v>
      </c>
      <c r="BM12" s="350">
        <f t="shared" si="2"/>
        <v>2.2307973719415193</v>
      </c>
      <c r="BN12" s="618">
        <v>10277.253769999999</v>
      </c>
      <c r="BO12" s="349">
        <f t="shared" si="51"/>
        <v>-4.5402408577545073E-2</v>
      </c>
      <c r="BP12" s="351">
        <f t="shared" si="3"/>
        <v>2.7989226163674377</v>
      </c>
      <c r="BQ12" s="617">
        <v>9879.9716950000002</v>
      </c>
      <c r="BR12" s="349">
        <f t="shared" si="52"/>
        <v>-3.8656443043149524E-2</v>
      </c>
      <c r="BS12" s="350">
        <f t="shared" si="25"/>
        <v>1.5788332805758127</v>
      </c>
      <c r="BT12" s="618">
        <v>1697.3776620000001</v>
      </c>
      <c r="BU12" s="349">
        <f t="shared" si="53"/>
        <v>-0.82820014931226993</v>
      </c>
      <c r="BV12" s="350">
        <f t="shared" si="26"/>
        <v>-0.47333485611914183</v>
      </c>
      <c r="BW12" s="618">
        <v>3526.2995019999998</v>
      </c>
      <c r="BX12" s="349">
        <f t="shared" si="54"/>
        <v>1.0774984736425735</v>
      </c>
      <c r="BY12" s="350">
        <f t="shared" si="27"/>
        <v>-0.67246142923223717</v>
      </c>
      <c r="BZ12" s="618">
        <v>5608.5786209999997</v>
      </c>
      <c r="CA12" s="349">
        <f t="shared" si="55"/>
        <v>0.59049979101860184</v>
      </c>
      <c r="CB12" s="351">
        <f t="shared" si="28"/>
        <v>-0.45427263483832414</v>
      </c>
      <c r="CC12" s="617">
        <v>5181</v>
      </c>
      <c r="CD12" s="349">
        <f t="shared" si="56"/>
        <v>-7.6236538683621569E-2</v>
      </c>
      <c r="CE12" s="350">
        <f t="shared" si="29"/>
        <v>-0.4756057851236587</v>
      </c>
      <c r="CF12" s="618">
        <v>6759.4738969999999</v>
      </c>
      <c r="CG12" s="349">
        <f t="shared" si="30"/>
        <v>0.30466587473460716</v>
      </c>
      <c r="CH12" s="350">
        <f t="shared" si="31"/>
        <v>0.8963171029266841</v>
      </c>
      <c r="CI12" s="618">
        <v>7384.0958579999997</v>
      </c>
      <c r="CJ12" s="349">
        <f t="shared" si="32"/>
        <v>9.2406890021014876E-2</v>
      </c>
      <c r="CK12" s="350">
        <f t="shared" si="33"/>
        <v>1.2159007306261027</v>
      </c>
      <c r="CL12" s="618"/>
      <c r="CM12" s="349">
        <f t="shared" si="34"/>
        <v>-1</v>
      </c>
      <c r="CN12" s="351">
        <f t="shared" si="35"/>
        <v>-1</v>
      </c>
    </row>
    <row r="13" spans="1:97" ht="16.2" customHeight="1" x14ac:dyDescent="0.4">
      <c r="A13" s="156">
        <f t="shared" si="4"/>
        <v>12</v>
      </c>
      <c r="B13" s="32"/>
      <c r="C13" s="33" t="s">
        <v>137</v>
      </c>
      <c r="D13" s="34" t="s">
        <v>219</v>
      </c>
      <c r="E13" s="767">
        <v>11.415385000000001</v>
      </c>
      <c r="F13" s="768">
        <v>10.824405</v>
      </c>
      <c r="G13" s="768">
        <v>18.489695000000001</v>
      </c>
      <c r="H13" s="768">
        <v>4.4176130000000002</v>
      </c>
      <c r="I13" s="777">
        <v>5.7394579999999999</v>
      </c>
      <c r="J13" s="349">
        <f t="shared" si="5"/>
        <v>0.29922154792644795</v>
      </c>
      <c r="K13" s="350">
        <f t="shared" si="6"/>
        <v>-0.497217308045239</v>
      </c>
      <c r="L13" s="147">
        <v>6.8841169999999998</v>
      </c>
      <c r="M13" s="349">
        <f t="shared" si="7"/>
        <v>0.19943677608582555</v>
      </c>
      <c r="N13" s="350">
        <f t="shared" si="8"/>
        <v>-0.36401889988410452</v>
      </c>
      <c r="O13" s="147">
        <v>9.5515360000000005</v>
      </c>
      <c r="P13" s="349">
        <f t="shared" si="9"/>
        <v>0.38747438487753771</v>
      </c>
      <c r="Q13" s="350">
        <f t="shared" si="10"/>
        <v>-0.48341300383808383</v>
      </c>
      <c r="R13" s="147">
        <v>0.16672300000000001</v>
      </c>
      <c r="S13" s="349">
        <f t="shared" si="11"/>
        <v>-0.98254490167864106</v>
      </c>
      <c r="T13" s="351">
        <f t="shared" si="12"/>
        <v>-0.96225948266631778</v>
      </c>
      <c r="U13" s="777">
        <v>1.1394629999999999</v>
      </c>
      <c r="V13" s="349">
        <f t="shared" si="36"/>
        <v>5.8344679498329555</v>
      </c>
      <c r="W13" s="350">
        <f t="shared" si="13"/>
        <v>-0.80146853587917188</v>
      </c>
      <c r="X13" s="147">
        <v>7.1069430000000002</v>
      </c>
      <c r="Y13" s="349">
        <f t="shared" si="37"/>
        <v>5.2370985279908178</v>
      </c>
      <c r="Z13" s="350">
        <f t="shared" si="14"/>
        <v>3.2368130872848289E-2</v>
      </c>
      <c r="AA13" s="147">
        <v>10.900641999999999</v>
      </c>
      <c r="AB13" s="349">
        <f t="shared" si="38"/>
        <v>0.53380180479849049</v>
      </c>
      <c r="AC13" s="350">
        <f t="shared" si="15"/>
        <v>0.14124492647046494</v>
      </c>
      <c r="AD13" s="147">
        <v>1.527552</v>
      </c>
      <c r="AE13" s="349">
        <f t="shared" si="39"/>
        <v>-0.85986586845068391</v>
      </c>
      <c r="AF13" s="351">
        <f t="shared" si="16"/>
        <v>8.1622151712721092</v>
      </c>
      <c r="AG13" s="777">
        <v>1.591434</v>
      </c>
      <c r="AH13" s="349">
        <f t="shared" si="40"/>
        <v>4.1819852941176405E-2</v>
      </c>
      <c r="AI13" s="350">
        <f t="shared" si="17"/>
        <v>0.39665263374063064</v>
      </c>
      <c r="AJ13" s="147">
        <v>16.598569999999999</v>
      </c>
      <c r="AK13" s="349">
        <f t="shared" si="41"/>
        <v>9.4299455711012818</v>
      </c>
      <c r="AL13" s="350">
        <f t="shared" si="18"/>
        <v>1.3355428628033175</v>
      </c>
      <c r="AM13" s="147">
        <v>25.277471999999999</v>
      </c>
      <c r="AN13" s="349">
        <f t="shared" si="42"/>
        <v>0.52287046414239313</v>
      </c>
      <c r="AO13" s="350">
        <f t="shared" si="19"/>
        <v>1.3188975475022482</v>
      </c>
      <c r="AP13" s="147">
        <v>24.435525999999999</v>
      </c>
      <c r="AQ13" s="349">
        <f t="shared" si="43"/>
        <v>-3.3308156765043617E-2</v>
      </c>
      <c r="AR13" s="351">
        <f t="shared" si="20"/>
        <v>14.99652646849338</v>
      </c>
      <c r="AS13" s="777">
        <v>24.958220000000001</v>
      </c>
      <c r="AT13" s="349">
        <f t="shared" si="44"/>
        <v>2.1390740678142173E-2</v>
      </c>
      <c r="AU13" s="350">
        <f t="shared" si="21"/>
        <v>14.682849555809415</v>
      </c>
      <c r="AV13" s="147">
        <v>26.650548000000001</v>
      </c>
      <c r="AW13" s="349">
        <f t="shared" si="45"/>
        <v>6.7806438119385026E-2</v>
      </c>
      <c r="AX13" s="350">
        <f t="shared" si="22"/>
        <v>0.60559301192813608</v>
      </c>
      <c r="AY13" s="147">
        <v>29.575531999999999</v>
      </c>
      <c r="AZ13" s="349">
        <f t="shared" si="46"/>
        <v>0.10975324034612721</v>
      </c>
      <c r="BA13" s="350">
        <f t="shared" si="23"/>
        <v>0.1700351997225038</v>
      </c>
      <c r="BB13" s="147">
        <v>24.527324</v>
      </c>
      <c r="BC13" s="349">
        <f t="shared" si="47"/>
        <v>-0.17068866250656112</v>
      </c>
      <c r="BD13" s="351">
        <f t="shared" si="24"/>
        <v>3.7567433580107945E-3</v>
      </c>
      <c r="BE13" s="617">
        <v>25.233744999999999</v>
      </c>
      <c r="BF13" s="349">
        <f t="shared" si="48"/>
        <v>2.8801389014145862E-2</v>
      </c>
      <c r="BG13" s="350">
        <f t="shared" si="0"/>
        <v>1.1039449127381529E-2</v>
      </c>
      <c r="BH13" s="618">
        <v>26.898747</v>
      </c>
      <c r="BI13" s="349">
        <f t="shared" si="49"/>
        <v>6.598315073723704E-2</v>
      </c>
      <c r="BJ13" s="350">
        <f t="shared" si="1"/>
        <v>9.3130917983375028E-3</v>
      </c>
      <c r="BK13" s="618">
        <v>203.45596</v>
      </c>
      <c r="BL13" s="349">
        <f t="shared" si="50"/>
        <v>6.5637709072470924</v>
      </c>
      <c r="BM13" s="350">
        <f t="shared" si="2"/>
        <v>5.8791986565110648</v>
      </c>
      <c r="BN13" s="618">
        <v>25.526389000000002</v>
      </c>
      <c r="BO13" s="349">
        <f t="shared" si="51"/>
        <v>-0.87453604701479382</v>
      </c>
      <c r="BP13" s="351">
        <f t="shared" si="3"/>
        <v>4.0732735458625768E-2</v>
      </c>
      <c r="BQ13" s="617">
        <v>26.640604</v>
      </c>
      <c r="BR13" s="349">
        <f t="shared" si="52"/>
        <v>4.3649534605149087E-2</v>
      </c>
      <c r="BS13" s="350">
        <f t="shared" si="25"/>
        <v>5.5753079853981369E-2</v>
      </c>
      <c r="BT13" s="618">
        <v>27.469688000000001</v>
      </c>
      <c r="BU13" s="349">
        <f t="shared" si="53"/>
        <v>3.1121066174025325E-2</v>
      </c>
      <c r="BV13" s="350">
        <f t="shared" si="26"/>
        <v>2.1225561175767904E-2</v>
      </c>
      <c r="BW13" s="618">
        <v>26.158080000000002</v>
      </c>
      <c r="BX13" s="349">
        <f t="shared" si="54"/>
        <v>-4.7747466225317114E-2</v>
      </c>
      <c r="BY13" s="350">
        <f t="shared" si="27"/>
        <v>-0.87143124241727787</v>
      </c>
      <c r="BZ13" s="618">
        <v>28.732804000000002</v>
      </c>
      <c r="CA13" s="349">
        <f t="shared" si="55"/>
        <v>9.8429395429634026E-2</v>
      </c>
      <c r="CB13" s="351">
        <f t="shared" si="28"/>
        <v>0.12561177376087151</v>
      </c>
      <c r="CC13" s="617">
        <v>29</v>
      </c>
      <c r="CD13" s="349">
        <f t="shared" si="56"/>
        <v>9.2993360480932985E-3</v>
      </c>
      <c r="CE13" s="350">
        <f t="shared" si="29"/>
        <v>8.8563907935420794E-2</v>
      </c>
      <c r="CF13" s="618">
        <v>24.526900000000001</v>
      </c>
      <c r="CG13" s="349">
        <f t="shared" si="30"/>
        <v>-0.15424482758620683</v>
      </c>
      <c r="CH13" s="350">
        <f t="shared" si="31"/>
        <v>-7.9684965577443312E-2</v>
      </c>
      <c r="CI13" s="618">
        <v>25.398969000000001</v>
      </c>
      <c r="CJ13" s="349">
        <f t="shared" si="32"/>
        <v>3.5555614447810413E-2</v>
      </c>
      <c r="CK13" s="350">
        <f t="shared" si="33"/>
        <v>-0.14121683423987097</v>
      </c>
      <c r="CL13" s="618"/>
      <c r="CM13" s="349">
        <f t="shared" si="34"/>
        <v>-1</v>
      </c>
      <c r="CN13" s="351">
        <f t="shared" si="35"/>
        <v>-1</v>
      </c>
    </row>
    <row r="14" spans="1:97" s="31" customFormat="1" ht="16.2" customHeight="1" x14ac:dyDescent="0.4">
      <c r="A14" s="156">
        <f t="shared" si="4"/>
        <v>13</v>
      </c>
      <c r="B14" s="28" t="s">
        <v>18</v>
      </c>
      <c r="C14" s="29"/>
      <c r="D14" s="30" t="s">
        <v>19</v>
      </c>
      <c r="E14" s="765">
        <f t="shared" ref="E14" si="113">SUM(E15:E24)</f>
        <v>35567.620753000003</v>
      </c>
      <c r="F14" s="766">
        <f t="shared" ref="F14:O14" si="114">SUM(F15:F24)</f>
        <v>36058.110848000011</v>
      </c>
      <c r="G14" s="766">
        <f t="shared" si="114"/>
        <v>36947.031686000009</v>
      </c>
      <c r="H14" s="766">
        <f t="shared" si="114"/>
        <v>49080.730539000004</v>
      </c>
      <c r="I14" s="776">
        <f t="shared" si="114"/>
        <v>49571.622874000008</v>
      </c>
      <c r="J14" s="346">
        <f t="shared" si="5"/>
        <v>1.0001732443854605E-2</v>
      </c>
      <c r="K14" s="347">
        <f t="shared" si="6"/>
        <v>0.39372895415892595</v>
      </c>
      <c r="L14" s="148">
        <f t="shared" si="114"/>
        <v>54089.454947000006</v>
      </c>
      <c r="M14" s="346">
        <f t="shared" si="7"/>
        <v>9.1137465571448306E-2</v>
      </c>
      <c r="N14" s="347">
        <f t="shared" si="8"/>
        <v>0.50006347184991573</v>
      </c>
      <c r="O14" s="148">
        <f t="shared" si="114"/>
        <v>54503.723300999998</v>
      </c>
      <c r="P14" s="346">
        <f t="shared" si="9"/>
        <v>7.6589485770548471E-3</v>
      </c>
      <c r="Q14" s="347">
        <f t="shared" si="10"/>
        <v>0.4751854428850526</v>
      </c>
      <c r="R14" s="148">
        <f>SUM(R15:R24)</f>
        <v>56010.299410000007</v>
      </c>
      <c r="S14" s="346">
        <f t="shared" si="11"/>
        <v>2.7641709919152824E-2</v>
      </c>
      <c r="T14" s="348">
        <f t="shared" si="12"/>
        <v>0.14118715827780326</v>
      </c>
      <c r="U14" s="776">
        <f>SUM(U15:U24)</f>
        <v>55822.68117299999</v>
      </c>
      <c r="V14" s="346">
        <f>IFERROR(U14/R14-1,0)</f>
        <v>-3.3497095887068395E-3</v>
      </c>
      <c r="W14" s="347">
        <f t="shared" si="13"/>
        <v>0.12610154634010629</v>
      </c>
      <c r="X14" s="148">
        <f>SUM(X15:X24)</f>
        <v>55304.449050000003</v>
      </c>
      <c r="Y14" s="346">
        <f>IFERROR(X14/U14-1,0)</f>
        <v>-9.2835405270831339E-3</v>
      </c>
      <c r="Z14" s="347">
        <f t="shared" si="14"/>
        <v>2.2462679725475443E-2</v>
      </c>
      <c r="AA14" s="148">
        <f>SUM(AA15:AA24)</f>
        <v>55305.692062000002</v>
      </c>
      <c r="AB14" s="346">
        <f>IFERROR(AA14/X14-1,0)</f>
        <v>2.2475804774213515E-5</v>
      </c>
      <c r="AC14" s="347">
        <f t="shared" si="15"/>
        <v>1.4714017913438404E-2</v>
      </c>
      <c r="AD14" s="148">
        <f>SUM(AD15:AD24)</f>
        <v>54513.727743999996</v>
      </c>
      <c r="AE14" s="346">
        <f>IFERROR(AD14/AA14-1,0)</f>
        <v>-1.4319761465278802E-2</v>
      </c>
      <c r="AF14" s="348">
        <f t="shared" si="16"/>
        <v>-2.6719579823078266E-2</v>
      </c>
      <c r="AG14" s="776">
        <f>SUM(AG15:AG24)</f>
        <v>56645.667138999997</v>
      </c>
      <c r="AH14" s="346">
        <f>IFERROR(AG14/AD14-1,0)</f>
        <v>3.9108303233485131E-2</v>
      </c>
      <c r="AI14" s="347">
        <f t="shared" si="17"/>
        <v>1.4742859868186686E-2</v>
      </c>
      <c r="AJ14" s="148">
        <f>SUM(AJ15:AJ24)</f>
        <v>71352.215113999991</v>
      </c>
      <c r="AK14" s="346">
        <f>IFERROR(AJ14/AG14-1,0)</f>
        <v>0.25962352846709935</v>
      </c>
      <c r="AL14" s="347">
        <f t="shared" si="18"/>
        <v>0.29017133955156882</v>
      </c>
      <c r="AM14" s="148">
        <f>SUM(AM15:AM24)</f>
        <v>81317.708778</v>
      </c>
      <c r="AN14" s="346">
        <f>IFERROR(AM14/AJ14-1,0)</f>
        <v>0.13966621285797598</v>
      </c>
      <c r="AO14" s="347">
        <f t="shared" si="19"/>
        <v>0.47033163759779795</v>
      </c>
      <c r="AP14" s="148">
        <f>SUM(AP15:AP24)</f>
        <v>143239.18471</v>
      </c>
      <c r="AQ14" s="346">
        <f>IFERROR(AP14/AM14-1,0)</f>
        <v>0.76147590558715383</v>
      </c>
      <c r="AR14" s="348">
        <f t="shared" si="20"/>
        <v>1.6275800727233425</v>
      </c>
      <c r="AS14" s="776">
        <f>SUM(AS15:AS24)</f>
        <v>211360.70394800004</v>
      </c>
      <c r="AT14" s="346">
        <f>IFERROR(AS14/AP14-1,0)</f>
        <v>0.47557879763081501</v>
      </c>
      <c r="AU14" s="347">
        <f t="shared" si="21"/>
        <v>2.7312775120002115</v>
      </c>
      <c r="AV14" s="148">
        <f>SUM(AV15:AV24)</f>
        <v>210890.911422</v>
      </c>
      <c r="AW14" s="346">
        <f>IFERROR(AV14/AS14-1,0)</f>
        <v>-2.2227051539136511E-3</v>
      </c>
      <c r="AX14" s="347">
        <f t="shared" si="22"/>
        <v>1.9556322965595103</v>
      </c>
      <c r="AY14" s="148">
        <f>SUM(AY15:AY24)</f>
        <v>210778.06532499997</v>
      </c>
      <c r="AZ14" s="346">
        <f>IFERROR(AY14/AV14-1,0)</f>
        <v>-5.3509227229908696E-4</v>
      </c>
      <c r="BA14" s="347">
        <f t="shared" si="23"/>
        <v>1.5920315327677392</v>
      </c>
      <c r="BB14" s="148">
        <f>SUM(BB15:BB24)</f>
        <v>183622.41757199998</v>
      </c>
      <c r="BC14" s="346">
        <f>IFERROR(BB14/AY14-1,0)</f>
        <v>-0.12883526429151226</v>
      </c>
      <c r="BD14" s="348">
        <f t="shared" si="24"/>
        <v>0.28192867017331391</v>
      </c>
      <c r="BE14" s="615">
        <f>SUM(BE15:BE24)</f>
        <v>183789.71224299999</v>
      </c>
      <c r="BF14" s="346">
        <f>IFERROR(BE14/BB14-1,0)</f>
        <v>9.1107977561843967E-4</v>
      </c>
      <c r="BG14" s="347">
        <f t="shared" si="0"/>
        <v>-0.13044521138509835</v>
      </c>
      <c r="BH14" s="616">
        <f>SUM(BH15:BH24)</f>
        <v>188229.24635899998</v>
      </c>
      <c r="BI14" s="346">
        <f>IFERROR(BH14/BE14-1,0)</f>
        <v>2.4155509368936956E-2</v>
      </c>
      <c r="BJ14" s="347">
        <f t="shared" si="1"/>
        <v>-0.10745681219828984</v>
      </c>
      <c r="BK14" s="616">
        <f>SUM(BK15:BK24)</f>
        <v>188515.83015199998</v>
      </c>
      <c r="BL14" s="346">
        <f>IFERROR(BK14/BH14-1,0)</f>
        <v>1.522525317098733E-3</v>
      </c>
      <c r="BM14" s="347">
        <f t="shared" si="2"/>
        <v>-0.10561931640597289</v>
      </c>
      <c r="BN14" s="616">
        <f>SUM(BN15:BN24)</f>
        <v>189705.53868400003</v>
      </c>
      <c r="BO14" s="346">
        <f>IFERROR(BN14/BK14-1,0)</f>
        <v>6.3109211096001872E-3</v>
      </c>
      <c r="BP14" s="348">
        <f t="shared" si="3"/>
        <v>3.3128422947676262E-2</v>
      </c>
      <c r="BQ14" s="615">
        <f>SUM(BQ15:BQ24)</f>
        <v>190306.828007</v>
      </c>
      <c r="BR14" s="346">
        <f>IFERROR(BQ14/BN14-1,0)</f>
        <v>3.1695928709891685E-3</v>
      </c>
      <c r="BS14" s="347">
        <f t="shared" si="25"/>
        <v>3.5459633101679433E-2</v>
      </c>
      <c r="BT14" s="616">
        <f>SUM(BT15:BT24)</f>
        <v>231376.28711993201</v>
      </c>
      <c r="BU14" s="346">
        <f>IFERROR(BT14/BQ14-1,0)</f>
        <v>0.21580654537219934</v>
      </c>
      <c r="BV14" s="347">
        <f t="shared" si="26"/>
        <v>0.22922601878052418</v>
      </c>
      <c r="BW14" s="616">
        <f>SUM(BW15:BW24)</f>
        <v>231473.519829</v>
      </c>
      <c r="BX14" s="346">
        <f>IFERROR(BW14/BT14-1,0)</f>
        <v>4.2023627519616191E-4</v>
      </c>
      <c r="BY14" s="347">
        <f t="shared" si="27"/>
        <v>0.2278731162383727</v>
      </c>
      <c r="BZ14" s="616">
        <f>SUM(BZ15:BZ24)</f>
        <v>374176.98560800002</v>
      </c>
      <c r="CA14" s="346">
        <f>IFERROR(BZ14/BW14-1,0)</f>
        <v>0.61650017628116416</v>
      </c>
      <c r="CB14" s="348">
        <f t="shared" si="28"/>
        <v>0.97240938880166983</v>
      </c>
      <c r="CC14" s="615">
        <f>SUM(CC15:CC24)</f>
        <v>377673</v>
      </c>
      <c r="CD14" s="346">
        <f>IFERROR(CC14/BZ14-1,0)</f>
        <v>9.3432106368576129E-3</v>
      </c>
      <c r="CE14" s="347">
        <f t="shared" si="29"/>
        <v>0.984547816571816</v>
      </c>
      <c r="CF14" s="616">
        <f>SUM(CF15:CF24)</f>
        <v>378116.10912600002</v>
      </c>
      <c r="CG14" s="346">
        <f t="shared" si="30"/>
        <v>1.1732613292452232E-3</v>
      </c>
      <c r="CH14" s="347">
        <f t="shared" si="31"/>
        <v>0.79294644124979197</v>
      </c>
      <c r="CI14" s="616">
        <f>SUM(CI15:CI24)</f>
        <v>382033.48029700003</v>
      </c>
      <c r="CJ14" s="346">
        <f t="shared" si="32"/>
        <v>1.0360233474460578E-2</v>
      </c>
      <c r="CK14" s="347">
        <f t="shared" si="33"/>
        <v>0.81249163525597545</v>
      </c>
      <c r="CL14" s="616"/>
      <c r="CM14" s="346">
        <f t="shared" si="34"/>
        <v>-1</v>
      </c>
      <c r="CN14" s="348">
        <f t="shared" si="35"/>
        <v>-1</v>
      </c>
      <c r="CO14" s="21"/>
    </row>
    <row r="15" spans="1:97" ht="16.2" customHeight="1" x14ac:dyDescent="0.4">
      <c r="A15" s="156">
        <f t="shared" si="4"/>
        <v>14</v>
      </c>
      <c r="B15" s="32"/>
      <c r="C15" s="33" t="s">
        <v>138</v>
      </c>
      <c r="D15" s="34" t="s">
        <v>451</v>
      </c>
      <c r="E15" s="767">
        <v>158.179079</v>
      </c>
      <c r="F15" s="768">
        <v>386.900328</v>
      </c>
      <c r="G15" s="768">
        <v>406.90980400000001</v>
      </c>
      <c r="H15" s="768">
        <v>419.30556799999999</v>
      </c>
      <c r="I15" s="777">
        <v>389.43114300000002</v>
      </c>
      <c r="J15" s="349">
        <f t="shared" si="5"/>
        <v>-7.1247384437308381E-2</v>
      </c>
      <c r="K15" s="350">
        <f t="shared" si="6"/>
        <v>1.4619636519694241</v>
      </c>
      <c r="L15" s="147">
        <v>402.37009499999999</v>
      </c>
      <c r="M15" s="349">
        <f t="shared" si="7"/>
        <v>3.3225262623641783E-2</v>
      </c>
      <c r="N15" s="350">
        <f t="shared" si="8"/>
        <v>3.9983855997144602E-2</v>
      </c>
      <c r="O15" s="147">
        <v>417.62024400000001</v>
      </c>
      <c r="P15" s="349">
        <f t="shared" si="9"/>
        <v>3.790080125114681E-2</v>
      </c>
      <c r="Q15" s="350">
        <f t="shared" si="10"/>
        <v>2.6321410530575573E-2</v>
      </c>
      <c r="R15" s="147">
        <v>432.66153600000001</v>
      </c>
      <c r="S15" s="349">
        <f t="shared" si="11"/>
        <v>3.6016673559531753E-2</v>
      </c>
      <c r="T15" s="351">
        <f t="shared" si="12"/>
        <v>3.1852589183838376E-2</v>
      </c>
      <c r="U15" s="777">
        <v>437.06635899999998</v>
      </c>
      <c r="V15" s="349">
        <f t="shared" ref="V15:V24" si="115">(IFERROR(U15/R15-1,0))</f>
        <v>1.0180759400807871E-2</v>
      </c>
      <c r="W15" s="350">
        <f t="shared" si="13"/>
        <v>0.12231999637481472</v>
      </c>
      <c r="X15" s="147">
        <v>238.58311399999999</v>
      </c>
      <c r="Y15" s="349">
        <f t="shared" ref="Y15:Y24" si="116">(IFERROR(X15/U15-1,0))</f>
        <v>-0.45412610902867501</v>
      </c>
      <c r="Z15" s="350">
        <f t="shared" si="14"/>
        <v>-0.40705555168059893</v>
      </c>
      <c r="AA15" s="147">
        <v>253.28773699999999</v>
      </c>
      <c r="AB15" s="349">
        <f t="shared" ref="AB15:AB24" si="117">(IFERROR(AA15/X15-1,0))</f>
        <v>6.1633125469223282E-2</v>
      </c>
      <c r="AC15" s="350">
        <f t="shared" si="15"/>
        <v>-0.39349746416986442</v>
      </c>
      <c r="AD15" s="147">
        <v>275.74344100000002</v>
      </c>
      <c r="AE15" s="349">
        <f t="shared" ref="AE15:AE24" si="118">(IFERROR(AD15/AA15-1,0))</f>
        <v>8.8656893799797354E-2</v>
      </c>
      <c r="AF15" s="351">
        <f t="shared" si="16"/>
        <v>-0.36268094559716069</v>
      </c>
      <c r="AG15" s="777">
        <v>280.96229599999998</v>
      </c>
      <c r="AH15" s="349">
        <f t="shared" ref="AH15:AH24" si="119">(IFERROR(AG15/AD15-1,0))</f>
        <v>1.8926488264139563E-2</v>
      </c>
      <c r="AI15" s="350">
        <f t="shared" si="17"/>
        <v>-0.35716329977251804</v>
      </c>
      <c r="AJ15" s="147">
        <v>288.62347</v>
      </c>
      <c r="AK15" s="349">
        <f t="shared" ref="AK15:AK24" si="120">(IFERROR(AJ15/AG15-1,0))</f>
        <v>2.7267623126200569E-2</v>
      </c>
      <c r="AL15" s="350">
        <f t="shared" si="18"/>
        <v>0.20973972198216839</v>
      </c>
      <c r="AM15" s="147">
        <v>291.91259600000001</v>
      </c>
      <c r="AN15" s="349">
        <f t="shared" ref="AN15:AN24" si="121">(IFERROR(AM15/AJ15-1,0))</f>
        <v>1.1395906230356134E-2</v>
      </c>
      <c r="AO15" s="350">
        <f t="shared" si="19"/>
        <v>0.15249399539623187</v>
      </c>
      <c r="AP15" s="147">
        <v>297.20755800000001</v>
      </c>
      <c r="AQ15" s="349">
        <f t="shared" ref="AQ15:AQ24" si="122">(IFERROR(AP15/AM15-1,0))</f>
        <v>1.8138860989746375E-2</v>
      </c>
      <c r="AR15" s="351">
        <f t="shared" si="20"/>
        <v>7.7840897764092087E-2</v>
      </c>
      <c r="AS15" s="777">
        <v>518.08140800000001</v>
      </c>
      <c r="AT15" s="349">
        <f t="shared" ref="AT15" si="123">(IFERROR(AS15/AP15-1,0))</f>
        <v>0.74316363785069028</v>
      </c>
      <c r="AU15" s="350">
        <f t="shared" si="21"/>
        <v>0.84395349616590565</v>
      </c>
      <c r="AV15" s="147">
        <v>525.72800800000005</v>
      </c>
      <c r="AW15" s="349">
        <f t="shared" ref="AW15" si="124">(IFERROR(AV15/AS15-1,0))</f>
        <v>1.4759456490668121E-2</v>
      </c>
      <c r="AX15" s="350">
        <f t="shared" si="22"/>
        <v>0.82150123827421262</v>
      </c>
      <c r="AY15" s="147">
        <v>424.33585799999997</v>
      </c>
      <c r="AZ15" s="349">
        <f t="shared" ref="AZ15" si="125">(IFERROR(AY15/AV15-1,0))</f>
        <v>-0.19286046863989803</v>
      </c>
      <c r="BA15" s="350">
        <f t="shared" si="23"/>
        <v>0.45364010945248823</v>
      </c>
      <c r="BB15" s="147">
        <v>331.655306</v>
      </c>
      <c r="BC15" s="349">
        <f t="shared" ref="BC15" si="126">(IFERROR(BB15/AY15-1,0))</f>
        <v>-0.21841319853765451</v>
      </c>
      <c r="BD15" s="351">
        <f t="shared" si="24"/>
        <v>0.11590468368910045</v>
      </c>
      <c r="BE15" s="617">
        <v>107.422</v>
      </c>
      <c r="BF15" s="349">
        <f t="shared" ref="BF15:BF24" si="127">(IFERROR(BE15/BB15-1,0))</f>
        <v>-0.67610347835050166</v>
      </c>
      <c r="BG15" s="350">
        <f t="shared" si="0"/>
        <v>-0.79265420773408646</v>
      </c>
      <c r="BH15" s="618">
        <v>107.422</v>
      </c>
      <c r="BI15" s="349">
        <f t="shared" ref="BI15:BI24" si="128">(IFERROR(BH15/BE15-1,0))</f>
        <v>0</v>
      </c>
      <c r="BJ15" s="350">
        <f t="shared" si="1"/>
        <v>-0.79567000737004678</v>
      </c>
      <c r="BK15" s="618">
        <v>107.422</v>
      </c>
      <c r="BL15" s="349">
        <f t="shared" ref="BL15:BL24" si="129">(IFERROR(BK15/BH15-1,0))</f>
        <v>0</v>
      </c>
      <c r="BM15" s="350">
        <f t="shared" si="2"/>
        <v>-0.74684675363918918</v>
      </c>
      <c r="BN15" s="618">
        <v>107.422</v>
      </c>
      <c r="BO15" s="349">
        <f t="shared" ref="BO15:BO24" si="130">(IFERROR(BN15/BK15-1,0))</f>
        <v>0</v>
      </c>
      <c r="BP15" s="351">
        <f t="shared" si="3"/>
        <v>-0.67610347835050166</v>
      </c>
      <c r="BQ15" s="617">
        <v>107.422</v>
      </c>
      <c r="BR15" s="349">
        <f t="shared" ref="BR15:BR24" si="131">(IFERROR(BQ15/BN15-1,0))</f>
        <v>0</v>
      </c>
      <c r="BS15" s="350">
        <f t="shared" si="25"/>
        <v>0</v>
      </c>
      <c r="BT15" s="618">
        <v>107.422</v>
      </c>
      <c r="BU15" s="349">
        <f t="shared" ref="BU15:BU24" si="132">(IFERROR(BT15/BQ15-1,0))</f>
        <v>0</v>
      </c>
      <c r="BV15" s="350">
        <f t="shared" si="26"/>
        <v>0</v>
      </c>
      <c r="BW15" s="618">
        <v>107.422</v>
      </c>
      <c r="BX15" s="349">
        <f t="shared" ref="BX15:BX24" si="133">(IFERROR(BW15/BT15-1,0))</f>
        <v>0</v>
      </c>
      <c r="BY15" s="350">
        <f t="shared" si="27"/>
        <v>0</v>
      </c>
      <c r="BZ15" s="618">
        <v>107.422</v>
      </c>
      <c r="CA15" s="349">
        <f t="shared" ref="CA15:CA24" si="134">(IFERROR(BZ15/BW15-1,0))</f>
        <v>0</v>
      </c>
      <c r="CB15" s="351">
        <f t="shared" si="28"/>
        <v>0</v>
      </c>
      <c r="CC15" s="617">
        <v>0</v>
      </c>
      <c r="CD15" s="349">
        <f t="shared" ref="CD15:CD24" si="135">(IFERROR(CC15/BZ15-1,0))</f>
        <v>-1</v>
      </c>
      <c r="CE15" s="350">
        <f t="shared" si="29"/>
        <v>-1</v>
      </c>
      <c r="CF15" s="618">
        <v>0</v>
      </c>
      <c r="CG15" s="349">
        <f t="shared" si="30"/>
        <v>0</v>
      </c>
      <c r="CH15" s="350">
        <f t="shared" si="31"/>
        <v>-1</v>
      </c>
      <c r="CI15" s="618">
        <v>0</v>
      </c>
      <c r="CJ15" s="349">
        <f t="shared" si="32"/>
        <v>0</v>
      </c>
      <c r="CK15" s="350">
        <f t="shared" si="33"/>
        <v>-1</v>
      </c>
      <c r="CL15" s="618"/>
      <c r="CM15" s="349">
        <f t="shared" si="34"/>
        <v>0</v>
      </c>
      <c r="CN15" s="351">
        <f t="shared" si="35"/>
        <v>-1</v>
      </c>
    </row>
    <row r="16" spans="1:97" ht="16.2" customHeight="1" x14ac:dyDescent="0.4">
      <c r="A16" s="156">
        <f t="shared" si="4"/>
        <v>15</v>
      </c>
      <c r="B16" s="32"/>
      <c r="C16" s="33" t="s">
        <v>238</v>
      </c>
      <c r="D16" s="34" t="s">
        <v>241</v>
      </c>
      <c r="E16" s="767">
        <v>0</v>
      </c>
      <c r="F16" s="768">
        <v>0</v>
      </c>
      <c r="G16" s="768">
        <v>0</v>
      </c>
      <c r="H16" s="768">
        <v>0</v>
      </c>
      <c r="I16" s="777">
        <v>0</v>
      </c>
      <c r="J16" s="349">
        <v>0</v>
      </c>
      <c r="K16" s="350">
        <v>0</v>
      </c>
      <c r="L16" s="147">
        <v>0</v>
      </c>
      <c r="M16" s="349">
        <v>0</v>
      </c>
      <c r="N16" s="350">
        <v>0</v>
      </c>
      <c r="O16" s="147">
        <v>0</v>
      </c>
      <c r="P16" s="349">
        <v>0</v>
      </c>
      <c r="Q16" s="350">
        <v>0</v>
      </c>
      <c r="R16" s="147">
        <v>0</v>
      </c>
      <c r="S16" s="349">
        <v>0</v>
      </c>
      <c r="T16" s="351">
        <v>0</v>
      </c>
      <c r="U16" s="777">
        <v>0</v>
      </c>
      <c r="V16" s="349">
        <v>0</v>
      </c>
      <c r="W16" s="350">
        <v>0</v>
      </c>
      <c r="X16" s="147">
        <v>0</v>
      </c>
      <c r="Y16" s="349">
        <v>0</v>
      </c>
      <c r="Z16" s="350">
        <v>0</v>
      </c>
      <c r="AA16" s="147">
        <v>0</v>
      </c>
      <c r="AB16" s="349">
        <v>0</v>
      </c>
      <c r="AC16" s="350">
        <v>0</v>
      </c>
      <c r="AD16" s="147">
        <v>0</v>
      </c>
      <c r="AE16" s="349">
        <v>0</v>
      </c>
      <c r="AF16" s="351">
        <v>0</v>
      </c>
      <c r="AG16" s="777">
        <v>0</v>
      </c>
      <c r="AH16" s="349">
        <v>0</v>
      </c>
      <c r="AI16" s="350">
        <v>0</v>
      </c>
      <c r="AJ16" s="147">
        <v>0</v>
      </c>
      <c r="AK16" s="349">
        <v>0</v>
      </c>
      <c r="AL16" s="350">
        <v>0</v>
      </c>
      <c r="AM16" s="147">
        <v>0</v>
      </c>
      <c r="AN16" s="349">
        <v>0</v>
      </c>
      <c r="AO16" s="350">
        <v>0</v>
      </c>
      <c r="AP16" s="147">
        <v>0</v>
      </c>
      <c r="AQ16" s="349">
        <v>0</v>
      </c>
      <c r="AR16" s="351">
        <v>0</v>
      </c>
      <c r="AS16" s="777">
        <v>0</v>
      </c>
      <c r="AT16" s="349">
        <v>0</v>
      </c>
      <c r="AU16" s="350">
        <v>0</v>
      </c>
      <c r="AV16" s="147">
        <v>0</v>
      </c>
      <c r="AW16" s="349">
        <v>0</v>
      </c>
      <c r="AX16" s="350">
        <v>0</v>
      </c>
      <c r="AY16" s="147">
        <v>0</v>
      </c>
      <c r="AZ16" s="349">
        <v>0</v>
      </c>
      <c r="BA16" s="350">
        <v>0</v>
      </c>
      <c r="BB16" s="147">
        <v>0</v>
      </c>
      <c r="BC16" s="349">
        <v>0</v>
      </c>
      <c r="BD16" s="351">
        <v>0</v>
      </c>
      <c r="BE16" s="617">
        <v>0</v>
      </c>
      <c r="BF16" s="349">
        <f t="shared" si="127"/>
        <v>0</v>
      </c>
      <c r="BG16" s="350">
        <f t="shared" si="0"/>
        <v>0</v>
      </c>
      <c r="BH16" s="618">
        <v>0</v>
      </c>
      <c r="BI16" s="349">
        <f t="shared" si="128"/>
        <v>0</v>
      </c>
      <c r="BJ16" s="350">
        <f t="shared" si="1"/>
        <v>0</v>
      </c>
      <c r="BK16" s="618">
        <v>0</v>
      </c>
      <c r="BL16" s="349">
        <f t="shared" si="129"/>
        <v>0</v>
      </c>
      <c r="BM16" s="350">
        <f t="shared" si="2"/>
        <v>0</v>
      </c>
      <c r="BN16" s="618">
        <v>0</v>
      </c>
      <c r="BO16" s="349">
        <f t="shared" si="130"/>
        <v>0</v>
      </c>
      <c r="BP16" s="351">
        <f t="shared" si="3"/>
        <v>0</v>
      </c>
      <c r="BQ16" s="617">
        <v>0</v>
      </c>
      <c r="BR16" s="349">
        <f t="shared" si="131"/>
        <v>0</v>
      </c>
      <c r="BS16" s="350">
        <f t="shared" si="25"/>
        <v>0</v>
      </c>
      <c r="BT16" s="618">
        <v>39124.212628000001</v>
      </c>
      <c r="BU16" s="349">
        <f t="shared" si="132"/>
        <v>0</v>
      </c>
      <c r="BV16" s="350">
        <f t="shared" si="26"/>
        <v>0</v>
      </c>
      <c r="BW16" s="618">
        <v>38303.347136999997</v>
      </c>
      <c r="BX16" s="349">
        <f t="shared" si="133"/>
        <v>-2.0981009862228839E-2</v>
      </c>
      <c r="BY16" s="350">
        <f t="shared" si="27"/>
        <v>0</v>
      </c>
      <c r="BZ16" s="618">
        <v>0</v>
      </c>
      <c r="CA16" s="349">
        <f t="shared" si="134"/>
        <v>-1</v>
      </c>
      <c r="CB16" s="351">
        <f t="shared" si="28"/>
        <v>0</v>
      </c>
      <c r="CC16" s="617">
        <v>0</v>
      </c>
      <c r="CD16" s="349">
        <f t="shared" si="135"/>
        <v>0</v>
      </c>
      <c r="CE16" s="350">
        <f t="shared" si="29"/>
        <v>0</v>
      </c>
      <c r="CF16" s="618">
        <v>0</v>
      </c>
      <c r="CG16" s="349">
        <f t="shared" si="30"/>
        <v>0</v>
      </c>
      <c r="CH16" s="350">
        <f t="shared" si="31"/>
        <v>0</v>
      </c>
      <c r="CI16" s="618">
        <v>0</v>
      </c>
      <c r="CJ16" s="349">
        <f t="shared" si="32"/>
        <v>0</v>
      </c>
      <c r="CK16" s="350"/>
      <c r="CL16" s="618"/>
      <c r="CM16" s="349"/>
      <c r="CN16" s="351"/>
    </row>
    <row r="17" spans="1:93" ht="16.2" customHeight="1" x14ac:dyDescent="0.4">
      <c r="A17" s="156">
        <f t="shared" si="4"/>
        <v>16</v>
      </c>
      <c r="B17" s="32"/>
      <c r="C17" s="33" t="s">
        <v>239</v>
      </c>
      <c r="D17" s="34" t="s">
        <v>250</v>
      </c>
      <c r="E17" s="767">
        <v>0</v>
      </c>
      <c r="F17" s="768">
        <v>0</v>
      </c>
      <c r="G17" s="768">
        <v>0</v>
      </c>
      <c r="H17" s="768">
        <v>0</v>
      </c>
      <c r="I17" s="777">
        <v>0</v>
      </c>
      <c r="J17" s="349">
        <v>0</v>
      </c>
      <c r="K17" s="350">
        <v>0</v>
      </c>
      <c r="L17" s="147">
        <v>0</v>
      </c>
      <c r="M17" s="349">
        <v>0</v>
      </c>
      <c r="N17" s="350">
        <v>0</v>
      </c>
      <c r="O17" s="147">
        <v>0</v>
      </c>
      <c r="P17" s="349">
        <v>0</v>
      </c>
      <c r="Q17" s="350">
        <v>0</v>
      </c>
      <c r="R17" s="147">
        <v>0</v>
      </c>
      <c r="S17" s="349">
        <v>0</v>
      </c>
      <c r="T17" s="351">
        <v>0</v>
      </c>
      <c r="U17" s="777">
        <v>0</v>
      </c>
      <c r="V17" s="349">
        <v>0</v>
      </c>
      <c r="W17" s="350">
        <v>0</v>
      </c>
      <c r="X17" s="147">
        <v>0</v>
      </c>
      <c r="Y17" s="349">
        <v>0</v>
      </c>
      <c r="Z17" s="350">
        <v>0</v>
      </c>
      <c r="AA17" s="147">
        <v>0</v>
      </c>
      <c r="AB17" s="349">
        <v>0</v>
      </c>
      <c r="AC17" s="350">
        <v>0</v>
      </c>
      <c r="AD17" s="147">
        <v>0</v>
      </c>
      <c r="AE17" s="349">
        <v>0</v>
      </c>
      <c r="AF17" s="351">
        <v>0</v>
      </c>
      <c r="AG17" s="777">
        <v>0</v>
      </c>
      <c r="AH17" s="349">
        <v>0</v>
      </c>
      <c r="AI17" s="350">
        <v>0</v>
      </c>
      <c r="AJ17" s="147">
        <v>0</v>
      </c>
      <c r="AK17" s="349">
        <v>0</v>
      </c>
      <c r="AL17" s="350">
        <v>0</v>
      </c>
      <c r="AM17" s="147">
        <v>0</v>
      </c>
      <c r="AN17" s="349">
        <v>0</v>
      </c>
      <c r="AO17" s="350">
        <v>0</v>
      </c>
      <c r="AP17" s="147">
        <v>0</v>
      </c>
      <c r="AQ17" s="349">
        <v>0</v>
      </c>
      <c r="AR17" s="351">
        <v>0</v>
      </c>
      <c r="AS17" s="777">
        <v>0</v>
      </c>
      <c r="AT17" s="349">
        <v>0</v>
      </c>
      <c r="AU17" s="350">
        <v>0</v>
      </c>
      <c r="AV17" s="147">
        <v>0</v>
      </c>
      <c r="AW17" s="349">
        <v>0</v>
      </c>
      <c r="AX17" s="350">
        <v>0</v>
      </c>
      <c r="AY17" s="147">
        <v>0</v>
      </c>
      <c r="AZ17" s="349">
        <v>0</v>
      </c>
      <c r="BA17" s="350">
        <v>0</v>
      </c>
      <c r="BB17" s="147">
        <v>0</v>
      </c>
      <c r="BC17" s="349">
        <v>0</v>
      </c>
      <c r="BD17" s="351">
        <v>0</v>
      </c>
      <c r="BE17" s="617">
        <v>0</v>
      </c>
      <c r="BF17" s="349">
        <f t="shared" si="127"/>
        <v>0</v>
      </c>
      <c r="BG17" s="350">
        <f t="shared" si="0"/>
        <v>0</v>
      </c>
      <c r="BH17" s="618">
        <v>0</v>
      </c>
      <c r="BI17" s="349">
        <f t="shared" si="128"/>
        <v>0</v>
      </c>
      <c r="BJ17" s="350">
        <f t="shared" si="1"/>
        <v>0</v>
      </c>
      <c r="BK17" s="618">
        <v>0</v>
      </c>
      <c r="BL17" s="349">
        <f t="shared" si="129"/>
        <v>0</v>
      </c>
      <c r="BM17" s="350">
        <f t="shared" si="2"/>
        <v>0</v>
      </c>
      <c r="BN17" s="618">
        <v>0</v>
      </c>
      <c r="BO17" s="349">
        <f t="shared" si="130"/>
        <v>0</v>
      </c>
      <c r="BP17" s="351">
        <f t="shared" si="3"/>
        <v>0</v>
      </c>
      <c r="BQ17" s="617">
        <v>0</v>
      </c>
      <c r="BR17" s="349">
        <f t="shared" si="131"/>
        <v>0</v>
      </c>
      <c r="BS17" s="350">
        <f t="shared" si="25"/>
        <v>0</v>
      </c>
      <c r="BT17" s="618">
        <v>645</v>
      </c>
      <c r="BU17" s="349">
        <f t="shared" si="132"/>
        <v>0</v>
      </c>
      <c r="BV17" s="350">
        <f t="shared" si="26"/>
        <v>0</v>
      </c>
      <c r="BW17" s="618">
        <v>0</v>
      </c>
      <c r="BX17" s="349">
        <f t="shared" si="133"/>
        <v>-1</v>
      </c>
      <c r="BY17" s="350">
        <f t="shared" si="27"/>
        <v>0</v>
      </c>
      <c r="BZ17" s="618">
        <v>0</v>
      </c>
      <c r="CA17" s="349">
        <f t="shared" si="134"/>
        <v>0</v>
      </c>
      <c r="CB17" s="351">
        <f t="shared" si="28"/>
        <v>0</v>
      </c>
      <c r="CC17" s="617">
        <v>0</v>
      </c>
      <c r="CD17" s="349">
        <f t="shared" si="135"/>
        <v>0</v>
      </c>
      <c r="CE17" s="350">
        <f t="shared" si="29"/>
        <v>0</v>
      </c>
      <c r="CF17" s="618">
        <v>0</v>
      </c>
      <c r="CG17" s="349">
        <f t="shared" si="30"/>
        <v>0</v>
      </c>
      <c r="CH17" s="350">
        <f t="shared" si="31"/>
        <v>0</v>
      </c>
      <c r="CI17" s="618">
        <v>0</v>
      </c>
      <c r="CJ17" s="349">
        <f t="shared" si="32"/>
        <v>0</v>
      </c>
      <c r="CK17" s="350"/>
      <c r="CL17" s="618"/>
      <c r="CM17" s="349"/>
      <c r="CN17" s="351"/>
    </row>
    <row r="18" spans="1:93" ht="16.2" customHeight="1" x14ac:dyDescent="0.4">
      <c r="A18" s="156">
        <f t="shared" si="4"/>
        <v>17</v>
      </c>
      <c r="B18" s="32"/>
      <c r="C18" s="33" t="s">
        <v>20</v>
      </c>
      <c r="D18" s="34" t="s">
        <v>218</v>
      </c>
      <c r="E18" s="767">
        <v>0</v>
      </c>
      <c r="F18" s="768">
        <v>0</v>
      </c>
      <c r="G18" s="768">
        <v>0</v>
      </c>
      <c r="H18" s="768">
        <v>0</v>
      </c>
      <c r="I18" s="777">
        <v>0</v>
      </c>
      <c r="J18" s="349">
        <v>0</v>
      </c>
      <c r="K18" s="350">
        <v>0</v>
      </c>
      <c r="L18" s="147">
        <v>0</v>
      </c>
      <c r="M18" s="349">
        <v>0</v>
      </c>
      <c r="N18" s="350">
        <v>0</v>
      </c>
      <c r="O18" s="147">
        <v>0</v>
      </c>
      <c r="P18" s="349">
        <v>0</v>
      </c>
      <c r="Q18" s="350">
        <v>0</v>
      </c>
      <c r="R18" s="147">
        <v>0</v>
      </c>
      <c r="S18" s="349">
        <v>0</v>
      </c>
      <c r="T18" s="351">
        <v>0</v>
      </c>
      <c r="U18" s="777">
        <v>0</v>
      </c>
      <c r="V18" s="349">
        <v>0</v>
      </c>
      <c r="W18" s="350">
        <v>0</v>
      </c>
      <c r="X18" s="147">
        <v>0</v>
      </c>
      <c r="Y18" s="349">
        <v>0</v>
      </c>
      <c r="Z18" s="350">
        <v>0</v>
      </c>
      <c r="AA18" s="147">
        <v>0</v>
      </c>
      <c r="AB18" s="349">
        <v>0</v>
      </c>
      <c r="AC18" s="350">
        <v>0</v>
      </c>
      <c r="AD18" s="147">
        <v>0</v>
      </c>
      <c r="AE18" s="349">
        <v>0</v>
      </c>
      <c r="AF18" s="351">
        <v>0</v>
      </c>
      <c r="AG18" s="777">
        <v>0</v>
      </c>
      <c r="AH18" s="349">
        <v>0</v>
      </c>
      <c r="AI18" s="350">
        <v>0</v>
      </c>
      <c r="AJ18" s="147">
        <v>0</v>
      </c>
      <c r="AK18" s="349">
        <v>0</v>
      </c>
      <c r="AL18" s="350">
        <v>0</v>
      </c>
      <c r="AM18" s="147">
        <v>0</v>
      </c>
      <c r="AN18" s="349">
        <v>0</v>
      </c>
      <c r="AO18" s="350">
        <v>0</v>
      </c>
      <c r="AP18" s="147">
        <v>0</v>
      </c>
      <c r="AQ18" s="349">
        <v>0</v>
      </c>
      <c r="AR18" s="351">
        <v>0</v>
      </c>
      <c r="AS18" s="777">
        <v>0</v>
      </c>
      <c r="AT18" s="349">
        <v>0</v>
      </c>
      <c r="AU18" s="350">
        <v>0</v>
      </c>
      <c r="AV18" s="147">
        <v>0</v>
      </c>
      <c r="AW18" s="349">
        <v>0</v>
      </c>
      <c r="AX18" s="350">
        <v>0</v>
      </c>
      <c r="AY18" s="147">
        <v>0</v>
      </c>
      <c r="AZ18" s="349">
        <v>0</v>
      </c>
      <c r="BA18" s="350">
        <v>0</v>
      </c>
      <c r="BB18" s="147">
        <v>0</v>
      </c>
      <c r="BC18" s="349">
        <v>0</v>
      </c>
      <c r="BD18" s="351">
        <v>0</v>
      </c>
      <c r="BE18" s="617">
        <v>0</v>
      </c>
      <c r="BF18" s="349">
        <f t="shared" si="127"/>
        <v>0</v>
      </c>
      <c r="BG18" s="350">
        <f t="shared" si="0"/>
        <v>0</v>
      </c>
      <c r="BH18" s="618">
        <v>2999.9585670000001</v>
      </c>
      <c r="BI18" s="349">
        <f t="shared" si="128"/>
        <v>0</v>
      </c>
      <c r="BJ18" s="350">
        <f t="shared" si="1"/>
        <v>0</v>
      </c>
      <c r="BK18" s="618">
        <v>2999.9585670000001</v>
      </c>
      <c r="BL18" s="349">
        <f t="shared" si="129"/>
        <v>0</v>
      </c>
      <c r="BM18" s="350">
        <f t="shared" si="2"/>
        <v>0</v>
      </c>
      <c r="BN18" s="618">
        <v>2999.9585670000001</v>
      </c>
      <c r="BO18" s="349">
        <f t="shared" si="130"/>
        <v>0</v>
      </c>
      <c r="BP18" s="351">
        <f t="shared" si="3"/>
        <v>0</v>
      </c>
      <c r="BQ18" s="617">
        <v>2999.9585670000001</v>
      </c>
      <c r="BR18" s="349">
        <f t="shared" si="131"/>
        <v>0</v>
      </c>
      <c r="BS18" s="350">
        <f t="shared" si="25"/>
        <v>0</v>
      </c>
      <c r="BT18" s="618">
        <v>2999.9585670000001</v>
      </c>
      <c r="BU18" s="349">
        <f t="shared" si="132"/>
        <v>0</v>
      </c>
      <c r="BV18" s="350">
        <f t="shared" si="26"/>
        <v>0</v>
      </c>
      <c r="BW18" s="618">
        <v>2999.9585670000001</v>
      </c>
      <c r="BX18" s="349">
        <f t="shared" si="133"/>
        <v>0</v>
      </c>
      <c r="BY18" s="350">
        <f t="shared" si="27"/>
        <v>0</v>
      </c>
      <c r="BZ18" s="618">
        <v>9124.3066610000005</v>
      </c>
      <c r="CA18" s="349">
        <f t="shared" si="134"/>
        <v>2.0414775595132411</v>
      </c>
      <c r="CB18" s="351">
        <f t="shared" si="28"/>
        <v>2.0414775595132411</v>
      </c>
      <c r="CC18" s="617">
        <v>9124</v>
      </c>
      <c r="CD18" s="349">
        <f t="shared" si="135"/>
        <v>-3.3609238640708305E-5</v>
      </c>
      <c r="CE18" s="350">
        <f t="shared" si="29"/>
        <v>2.0413753377681232</v>
      </c>
      <c r="CF18" s="618">
        <v>9100.1809400000002</v>
      </c>
      <c r="CG18" s="349">
        <f t="shared" si="30"/>
        <v>-2.6105940377026959E-3</v>
      </c>
      <c r="CH18" s="350">
        <f t="shared" si="31"/>
        <v>0</v>
      </c>
      <c r="CI18" s="884">
        <v>9100.1809400000002</v>
      </c>
      <c r="CJ18" s="349">
        <f t="shared" si="32"/>
        <v>0</v>
      </c>
      <c r="CK18" s="350">
        <f t="shared" si="33"/>
        <v>0</v>
      </c>
      <c r="CL18" s="618"/>
      <c r="CM18" s="349">
        <f t="shared" si="34"/>
        <v>-1</v>
      </c>
      <c r="CN18" s="351">
        <f t="shared" si="35"/>
        <v>0</v>
      </c>
    </row>
    <row r="19" spans="1:93" ht="16.2" customHeight="1" x14ac:dyDescent="0.4">
      <c r="A19" s="156">
        <f t="shared" si="4"/>
        <v>18</v>
      </c>
      <c r="B19" s="32"/>
      <c r="C19" s="33" t="s">
        <v>139</v>
      </c>
      <c r="D19" s="34" t="s">
        <v>75</v>
      </c>
      <c r="E19" s="767">
        <v>32154.494222000001</v>
      </c>
      <c r="F19" s="768">
        <v>32691.602007000001</v>
      </c>
      <c r="G19" s="768">
        <v>33534.755847</v>
      </c>
      <c r="H19" s="768">
        <v>46055.749744000001</v>
      </c>
      <c r="I19" s="777">
        <v>45972.961415999998</v>
      </c>
      <c r="J19" s="349">
        <f t="shared" si="5"/>
        <v>-1.7975676969798071E-3</v>
      </c>
      <c r="K19" s="350">
        <f t="shared" si="6"/>
        <v>0.42975227968429519</v>
      </c>
      <c r="L19" s="147">
        <v>50219.071837000003</v>
      </c>
      <c r="M19" s="349">
        <f t="shared" si="7"/>
        <v>9.2361037666853996E-2</v>
      </c>
      <c r="N19" s="350">
        <f t="shared" si="8"/>
        <v>0.53614594433906837</v>
      </c>
      <c r="O19" s="147">
        <v>50538.573380000002</v>
      </c>
      <c r="P19" s="349">
        <f t="shared" si="9"/>
        <v>6.3621554782420375E-3</v>
      </c>
      <c r="Q19" s="350">
        <f t="shared" si="10"/>
        <v>0.50705058389507118</v>
      </c>
      <c r="R19" s="147">
        <v>51077.691415000001</v>
      </c>
      <c r="S19" s="349">
        <f t="shared" si="11"/>
        <v>1.0667456537531539E-2</v>
      </c>
      <c r="T19" s="351">
        <f t="shared" si="12"/>
        <v>0.10904049329159471</v>
      </c>
      <c r="U19" s="777">
        <v>50882.404436999997</v>
      </c>
      <c r="V19" s="349">
        <f t="shared" si="115"/>
        <v>-3.823332116037137E-3</v>
      </c>
      <c r="W19" s="350">
        <f t="shared" si="13"/>
        <v>0.10678979273437372</v>
      </c>
      <c r="X19" s="147">
        <v>50627.866946000002</v>
      </c>
      <c r="Y19" s="349">
        <f t="shared" si="116"/>
        <v>-5.0024658586084181E-3</v>
      </c>
      <c r="Z19" s="350">
        <f t="shared" si="14"/>
        <v>8.1402362498226299E-3</v>
      </c>
      <c r="AA19" s="147">
        <v>50347.802879000003</v>
      </c>
      <c r="AB19" s="349">
        <f t="shared" si="117"/>
        <v>-5.5318164460438357E-3</v>
      </c>
      <c r="AC19" s="350">
        <f t="shared" si="15"/>
        <v>-3.7747504181725455E-3</v>
      </c>
      <c r="AD19" s="147">
        <v>50098.618892999999</v>
      </c>
      <c r="AE19" s="349">
        <f t="shared" si="118"/>
        <v>-4.9492524350837064E-3</v>
      </c>
      <c r="AF19" s="351">
        <f t="shared" si="16"/>
        <v>-1.9168300188925125E-2</v>
      </c>
      <c r="AG19" s="777">
        <v>51293.336857000002</v>
      </c>
      <c r="AH19" s="349">
        <f t="shared" si="119"/>
        <v>2.3847323347409466E-2</v>
      </c>
      <c r="AI19" s="350">
        <f t="shared" si="17"/>
        <v>8.076120312058066E-3</v>
      </c>
      <c r="AJ19" s="147">
        <v>66325.551731</v>
      </c>
      <c r="AK19" s="349">
        <f t="shared" si="120"/>
        <v>0.29306369589305725</v>
      </c>
      <c r="AL19" s="350">
        <f t="shared" si="18"/>
        <v>0.31006016512098467</v>
      </c>
      <c r="AM19" s="147">
        <v>76457.837968000007</v>
      </c>
      <c r="AN19" s="349">
        <f t="shared" si="121"/>
        <v>0.15276595478759147</v>
      </c>
      <c r="AO19" s="350">
        <f t="shared" si="19"/>
        <v>0.51859333666952256</v>
      </c>
      <c r="AP19" s="147">
        <v>80704.632922999997</v>
      </c>
      <c r="AQ19" s="349">
        <f t="shared" si="122"/>
        <v>5.5544272083359214E-2</v>
      </c>
      <c r="AR19" s="351">
        <f t="shared" si="20"/>
        <v>0.61091532473914967</v>
      </c>
      <c r="AS19" s="777">
        <v>104563.798129</v>
      </c>
      <c r="AT19" s="349">
        <f t="shared" ref="AT19:AT24" si="136">(IFERROR(AS19/AP19-1,0))</f>
        <v>0.29563563257593839</v>
      </c>
      <c r="AU19" s="350">
        <f t="shared" ref="AU19:AU32" si="137">IFERROR(AS19/AG19-1,)</f>
        <v>1.0385454434464263</v>
      </c>
      <c r="AV19" s="147">
        <v>132475.06566600001</v>
      </c>
      <c r="AW19" s="349">
        <f t="shared" ref="AW19:AW24" si="138">(IFERROR(AV19/AS19-1,0))</f>
        <v>0.26693050593443401</v>
      </c>
      <c r="AX19" s="350">
        <f t="shared" ref="AX19:AX32" si="139">IFERROR(AV19/AJ19-1,)</f>
        <v>0.99734585251979579</v>
      </c>
      <c r="AY19" s="147">
        <v>131988.20245899999</v>
      </c>
      <c r="AZ19" s="349">
        <f t="shared" ref="AZ19:AZ24" si="140">(IFERROR(AY19/AV19-1,0))</f>
        <v>-3.6751308976702424E-3</v>
      </c>
      <c r="BA19" s="350">
        <f t="shared" ref="BA19:BA32" si="141">IFERROR(AY19/AM19-1,)</f>
        <v>0.7262874018781591</v>
      </c>
      <c r="BB19" s="147">
        <v>104241.59458999999</v>
      </c>
      <c r="BC19" s="349">
        <f t="shared" ref="BC19:BC24" si="142">(IFERROR(BB19/AY19-1,0))</f>
        <v>-0.21022036327541493</v>
      </c>
      <c r="BD19" s="351">
        <f t="shared" ref="BD19:BD32" si="143">IFERROR(BB19/AP19-1,)</f>
        <v>0.29164325286574977</v>
      </c>
      <c r="BE19" s="617">
        <v>121179.001082</v>
      </c>
      <c r="BF19" s="349">
        <f t="shared" si="127"/>
        <v>0.16248222754666908</v>
      </c>
      <c r="BG19" s="350">
        <f t="shared" si="0"/>
        <v>0.15890014756829962</v>
      </c>
      <c r="BH19" s="618">
        <v>121940.52067899999</v>
      </c>
      <c r="BI19" s="349">
        <f t="shared" si="128"/>
        <v>6.2842537915019925E-3</v>
      </c>
      <c r="BJ19" s="350">
        <f t="shared" si="1"/>
        <v>-7.9520964447453157E-2</v>
      </c>
      <c r="BK19" s="618">
        <v>125210.86790700001</v>
      </c>
      <c r="BL19" s="349">
        <f t="shared" si="129"/>
        <v>2.6819200129618803E-2</v>
      </c>
      <c r="BM19" s="350">
        <f t="shared" si="2"/>
        <v>-5.1348032822139955E-2</v>
      </c>
      <c r="BN19" s="618">
        <v>138988.714882</v>
      </c>
      <c r="BO19" s="349">
        <f t="shared" si="130"/>
        <v>0.11003714937295572</v>
      </c>
      <c r="BP19" s="351">
        <f t="shared" si="3"/>
        <v>0.33333258598610627</v>
      </c>
      <c r="BQ19" s="617">
        <v>143523.975228</v>
      </c>
      <c r="BR19" s="349">
        <f t="shared" si="131"/>
        <v>3.2630421468752946E-2</v>
      </c>
      <c r="BS19" s="350">
        <f t="shared" si="25"/>
        <v>0.18439642138062751</v>
      </c>
      <c r="BT19" s="618">
        <v>143385.577315</v>
      </c>
      <c r="BU19" s="349">
        <f t="shared" si="132"/>
        <v>-9.6428427919537096E-4</v>
      </c>
      <c r="BV19" s="350">
        <f t="shared" si="26"/>
        <v>0.17586489311828224</v>
      </c>
      <c r="BW19" s="618">
        <v>150171.22852</v>
      </c>
      <c r="BX19" s="349">
        <f t="shared" si="133"/>
        <v>4.7324503147849972E-2</v>
      </c>
      <c r="BY19" s="350">
        <f t="shared" si="27"/>
        <v>0.19934659850404701</v>
      </c>
      <c r="BZ19" s="618">
        <v>193172.861473</v>
      </c>
      <c r="CA19" s="349">
        <f t="shared" si="134"/>
        <v>0.28635067700250572</v>
      </c>
      <c r="CB19" s="351">
        <f t="shared" si="28"/>
        <v>0.38984565500157187</v>
      </c>
      <c r="CC19" s="617">
        <v>198161</v>
      </c>
      <c r="CD19" s="349">
        <f t="shared" si="135"/>
        <v>2.5822149596811839E-2</v>
      </c>
      <c r="CE19" s="350">
        <f t="shared" si="29"/>
        <v>0.38068221483695996</v>
      </c>
      <c r="CF19" s="618">
        <v>198425.21903000001</v>
      </c>
      <c r="CG19" s="349">
        <f t="shared" si="30"/>
        <v>1.3333553524659258E-3</v>
      </c>
      <c r="CH19" s="350">
        <f t="shared" si="31"/>
        <v>0.49783069011851211</v>
      </c>
      <c r="CI19" s="618">
        <v>202928.43597200001</v>
      </c>
      <c r="CJ19" s="349">
        <f t="shared" si="32"/>
        <v>2.2694781258218777E-2</v>
      </c>
      <c r="CK19" s="350">
        <f t="shared" si="33"/>
        <v>0.53747404837213719</v>
      </c>
      <c r="CL19" s="618"/>
      <c r="CM19" s="349">
        <f t="shared" si="34"/>
        <v>-1</v>
      </c>
      <c r="CN19" s="351">
        <f t="shared" si="35"/>
        <v>-1</v>
      </c>
    </row>
    <row r="20" spans="1:93" ht="16.2" customHeight="1" x14ac:dyDescent="0.4">
      <c r="A20" s="156">
        <f t="shared" si="4"/>
        <v>19</v>
      </c>
      <c r="B20" s="32"/>
      <c r="C20" s="33" t="s">
        <v>140</v>
      </c>
      <c r="D20" s="34" t="s">
        <v>234</v>
      </c>
      <c r="E20" s="767">
        <v>127.576116</v>
      </c>
      <c r="F20" s="768">
        <v>131.49525800000001</v>
      </c>
      <c r="G20" s="768">
        <v>136.045445</v>
      </c>
      <c r="H20" s="768">
        <v>152.95273399999999</v>
      </c>
      <c r="I20" s="777">
        <v>159.48610099999999</v>
      </c>
      <c r="J20" s="349">
        <f t="shared" si="5"/>
        <v>4.2714940943781921E-2</v>
      </c>
      <c r="K20" s="350">
        <f t="shared" si="6"/>
        <v>0.25012507043246246</v>
      </c>
      <c r="L20" s="147">
        <v>357.37920300000002</v>
      </c>
      <c r="M20" s="349">
        <f t="shared" si="7"/>
        <v>1.2408172295841631</v>
      </c>
      <c r="N20" s="350">
        <f t="shared" si="8"/>
        <v>1.7178105768650607</v>
      </c>
      <c r="O20" s="147">
        <v>414.13040599999999</v>
      </c>
      <c r="P20" s="349">
        <f t="shared" si="9"/>
        <v>0.15879828071584789</v>
      </c>
      <c r="Q20" s="350">
        <f t="shared" si="10"/>
        <v>2.044059328851473</v>
      </c>
      <c r="R20" s="147">
        <v>710.67403300000001</v>
      </c>
      <c r="S20" s="349">
        <f t="shared" si="11"/>
        <v>0.71606340105343547</v>
      </c>
      <c r="T20" s="351">
        <f t="shared" si="12"/>
        <v>3.6463637125963375</v>
      </c>
      <c r="U20" s="777">
        <v>710.36875799999996</v>
      </c>
      <c r="V20" s="349">
        <f t="shared" si="115"/>
        <v>-4.2955699212954279E-4</v>
      </c>
      <c r="W20" s="350">
        <f t="shared" si="13"/>
        <v>3.4541107566483173</v>
      </c>
      <c r="X20" s="147">
        <v>731.30753300000003</v>
      </c>
      <c r="Y20" s="349">
        <f t="shared" si="116"/>
        <v>2.9475923264069115E-2</v>
      </c>
      <c r="Z20" s="350">
        <f t="shared" si="14"/>
        <v>1.0463069111494998</v>
      </c>
      <c r="AA20" s="147">
        <v>720.193533</v>
      </c>
      <c r="AB20" s="349">
        <f t="shared" si="117"/>
        <v>-1.5197436780676532E-2</v>
      </c>
      <c r="AC20" s="350">
        <f t="shared" si="15"/>
        <v>0.7390501218111476</v>
      </c>
      <c r="AD20" s="147">
        <v>821.86246900000003</v>
      </c>
      <c r="AE20" s="349">
        <f t="shared" si="118"/>
        <v>0.14116890994076736</v>
      </c>
      <c r="AF20" s="351">
        <f t="shared" si="16"/>
        <v>0.15645490173692611</v>
      </c>
      <c r="AG20" s="777">
        <v>807.05562099999997</v>
      </c>
      <c r="AH20" s="349">
        <f t="shared" si="119"/>
        <v>-1.8016211420404993E-2</v>
      </c>
      <c r="AI20" s="350">
        <f t="shared" si="17"/>
        <v>0.13610798885949893</v>
      </c>
      <c r="AJ20" s="147">
        <v>826.21163799999999</v>
      </c>
      <c r="AK20" s="349">
        <f t="shared" si="120"/>
        <v>2.3735683763981941E-2</v>
      </c>
      <c r="AL20" s="350">
        <f t="shared" si="18"/>
        <v>0.12977318120966208</v>
      </c>
      <c r="AM20" s="147">
        <v>1069.360572</v>
      </c>
      <c r="AN20" s="349">
        <f t="shared" si="121"/>
        <v>0.29429376544318298</v>
      </c>
      <c r="AO20" s="350">
        <f t="shared" si="19"/>
        <v>0.48482390218852478</v>
      </c>
      <c r="AP20" s="147">
        <v>1123.998104</v>
      </c>
      <c r="AQ20" s="349">
        <f t="shared" si="122"/>
        <v>5.1093647391368346E-2</v>
      </c>
      <c r="AR20" s="351">
        <f t="shared" si="20"/>
        <v>0.3676231077538108</v>
      </c>
      <c r="AS20" s="777">
        <v>1214.5768949999999</v>
      </c>
      <c r="AT20" s="349">
        <f t="shared" si="136"/>
        <v>8.0586248924846782E-2</v>
      </c>
      <c r="AU20" s="350">
        <f t="shared" si="137"/>
        <v>0.5049481886949152</v>
      </c>
      <c r="AV20" s="147">
        <v>1368.980671</v>
      </c>
      <c r="AW20" s="349">
        <f t="shared" si="138"/>
        <v>0.12712556663610841</v>
      </c>
      <c r="AX20" s="350">
        <f t="shared" si="139"/>
        <v>0.65693704619542048</v>
      </c>
      <c r="AY20" s="147">
        <v>1456.9951940000001</v>
      </c>
      <c r="AZ20" s="349">
        <f t="shared" si="140"/>
        <v>6.4292012929377584E-2</v>
      </c>
      <c r="BA20" s="350">
        <f t="shared" si="141"/>
        <v>0.36249197151061607</v>
      </c>
      <c r="BB20" s="147">
        <v>1478.3695740000001</v>
      </c>
      <c r="BC20" s="349">
        <f t="shared" si="142"/>
        <v>1.4670178795387345E-2</v>
      </c>
      <c r="BD20" s="351">
        <f t="shared" si="143"/>
        <v>0.31527764036157135</v>
      </c>
      <c r="BE20" s="617">
        <v>1644.948093</v>
      </c>
      <c r="BF20" s="349">
        <f t="shared" si="127"/>
        <v>0.1126771829788753</v>
      </c>
      <c r="BG20" s="350">
        <f t="shared" si="0"/>
        <v>0.354338370647171</v>
      </c>
      <c r="BH20" s="618">
        <v>1945.869254</v>
      </c>
      <c r="BI20" s="349">
        <f t="shared" si="128"/>
        <v>0.18293656941550673</v>
      </c>
      <c r="BJ20" s="350">
        <f t="shared" si="1"/>
        <v>0.42140009367597564</v>
      </c>
      <c r="BK20" s="618">
        <v>2336.794433</v>
      </c>
      <c r="BL20" s="349">
        <f t="shared" si="129"/>
        <v>0.20090002357373193</v>
      </c>
      <c r="BM20" s="350">
        <f t="shared" si="2"/>
        <v>0.60384498358201166</v>
      </c>
      <c r="BN20" s="618">
        <v>2822.2968580000002</v>
      </c>
      <c r="BO20" s="349">
        <f t="shared" si="130"/>
        <v>0.20776428518648404</v>
      </c>
      <c r="BP20" s="351">
        <f t="shared" si="3"/>
        <v>0.90906043227320921</v>
      </c>
      <c r="BQ20" s="617">
        <v>4575.2375490000004</v>
      </c>
      <c r="BR20" s="349">
        <f t="shared" si="131"/>
        <v>0.62110429171586468</v>
      </c>
      <c r="BS20" s="350">
        <f t="shared" si="25"/>
        <v>1.7813871869086393</v>
      </c>
      <c r="BT20" s="618">
        <v>6514.2836789999992</v>
      </c>
      <c r="BU20" s="349">
        <f t="shared" si="132"/>
        <v>0.42381321390051352</v>
      </c>
      <c r="BV20" s="350">
        <f t="shared" si="26"/>
        <v>2.3477499403461972</v>
      </c>
      <c r="BW20" s="618">
        <v>7605.3814109999994</v>
      </c>
      <c r="BX20" s="349">
        <f t="shared" si="133"/>
        <v>0.16749312522531934</v>
      </c>
      <c r="BY20" s="350">
        <f t="shared" si="27"/>
        <v>2.2546215035424124</v>
      </c>
      <c r="BZ20" s="618">
        <v>140947.98448300001</v>
      </c>
      <c r="CA20" s="349">
        <f t="shared" si="134"/>
        <v>17.532664815355705</v>
      </c>
      <c r="CB20" s="351">
        <f t="shared" si="28"/>
        <v>48.940878502370495</v>
      </c>
      <c r="CC20" s="617">
        <v>140159</v>
      </c>
      <c r="CD20" s="349">
        <f t="shared" si="135"/>
        <v>-5.5976996471004403E-3</v>
      </c>
      <c r="CE20" s="350">
        <f t="shared" si="29"/>
        <v>29.634256363504939</v>
      </c>
      <c r="CF20" s="618">
        <v>140585.66974000001</v>
      </c>
      <c r="CG20" s="349">
        <f t="shared" si="30"/>
        <v>3.0441836771095687E-3</v>
      </c>
      <c r="CH20" s="350">
        <f t="shared" si="31"/>
        <v>101.69368495707563</v>
      </c>
      <c r="CI20" s="618">
        <v>140067.48462900001</v>
      </c>
      <c r="CJ20" s="349">
        <f t="shared" si="32"/>
        <v>-3.685902780548922E-3</v>
      </c>
      <c r="CK20" s="350">
        <f t="shared" si="33"/>
        <v>95.134486377036055</v>
      </c>
      <c r="CL20" s="618"/>
      <c r="CM20" s="349">
        <f t="shared" si="34"/>
        <v>-1</v>
      </c>
      <c r="CN20" s="351">
        <f t="shared" si="35"/>
        <v>-1</v>
      </c>
    </row>
    <row r="21" spans="1:93" ht="16.2" customHeight="1" x14ac:dyDescent="0.4">
      <c r="A21" s="156">
        <f t="shared" si="4"/>
        <v>20</v>
      </c>
      <c r="B21" s="32"/>
      <c r="C21" s="33" t="s">
        <v>141</v>
      </c>
      <c r="D21" s="34" t="s">
        <v>249</v>
      </c>
      <c r="E21" s="767" t="s">
        <v>126</v>
      </c>
      <c r="F21" s="768" t="s">
        <v>126</v>
      </c>
      <c r="G21" s="768" t="s">
        <v>126</v>
      </c>
      <c r="H21" s="768" t="s">
        <v>126</v>
      </c>
      <c r="I21" s="777"/>
      <c r="J21" s="349">
        <f t="shared" si="5"/>
        <v>0</v>
      </c>
      <c r="K21" s="350">
        <f t="shared" si="6"/>
        <v>0</v>
      </c>
      <c r="L21" s="147" t="s">
        <v>126</v>
      </c>
      <c r="M21" s="349">
        <f t="shared" si="7"/>
        <v>0</v>
      </c>
      <c r="N21" s="350">
        <f t="shared" si="8"/>
        <v>0</v>
      </c>
      <c r="O21" s="147" t="s">
        <v>126</v>
      </c>
      <c r="P21" s="349">
        <f t="shared" si="9"/>
        <v>0</v>
      </c>
      <c r="Q21" s="350">
        <f t="shared" si="10"/>
        <v>0</v>
      </c>
      <c r="R21" s="147" t="s">
        <v>126</v>
      </c>
      <c r="S21" s="349">
        <f t="shared" si="11"/>
        <v>0</v>
      </c>
      <c r="T21" s="351">
        <f t="shared" si="12"/>
        <v>0</v>
      </c>
      <c r="U21" s="777">
        <v>0</v>
      </c>
      <c r="V21" s="349">
        <f t="shared" si="115"/>
        <v>0</v>
      </c>
      <c r="W21" s="350">
        <f t="shared" si="13"/>
        <v>0</v>
      </c>
      <c r="X21" s="147">
        <v>0</v>
      </c>
      <c r="Y21" s="349">
        <f t="shared" si="116"/>
        <v>0</v>
      </c>
      <c r="Z21" s="350">
        <f t="shared" si="14"/>
        <v>0</v>
      </c>
      <c r="AA21" s="147">
        <v>0</v>
      </c>
      <c r="AB21" s="349">
        <f t="shared" si="117"/>
        <v>0</v>
      </c>
      <c r="AC21" s="350">
        <f t="shared" si="15"/>
        <v>0</v>
      </c>
      <c r="AD21" s="147">
        <v>0</v>
      </c>
      <c r="AE21" s="349">
        <f t="shared" si="118"/>
        <v>0</v>
      </c>
      <c r="AF21" s="351">
        <f t="shared" si="16"/>
        <v>0</v>
      </c>
      <c r="AG21" s="777">
        <v>0</v>
      </c>
      <c r="AH21" s="349">
        <f t="shared" si="119"/>
        <v>0</v>
      </c>
      <c r="AI21" s="350">
        <f t="shared" si="17"/>
        <v>0</v>
      </c>
      <c r="AJ21" s="147">
        <v>0</v>
      </c>
      <c r="AK21" s="349">
        <f t="shared" si="120"/>
        <v>0</v>
      </c>
      <c r="AL21" s="350">
        <f t="shared" si="18"/>
        <v>0</v>
      </c>
      <c r="AM21" s="147">
        <v>0</v>
      </c>
      <c r="AN21" s="349">
        <f t="shared" si="121"/>
        <v>0</v>
      </c>
      <c r="AO21" s="350">
        <f t="shared" si="19"/>
        <v>0</v>
      </c>
      <c r="AP21" s="147">
        <v>58418.164117</v>
      </c>
      <c r="AQ21" s="349">
        <f t="shared" si="122"/>
        <v>0</v>
      </c>
      <c r="AR21" s="351">
        <f t="shared" si="20"/>
        <v>0</v>
      </c>
      <c r="AS21" s="777">
        <v>103467.475659</v>
      </c>
      <c r="AT21" s="349">
        <f t="shared" si="136"/>
        <v>0.77115246983412833</v>
      </c>
      <c r="AU21" s="350">
        <f t="shared" si="137"/>
        <v>0</v>
      </c>
      <c r="AV21" s="147">
        <v>74917.254627999995</v>
      </c>
      <c r="AW21" s="349">
        <f t="shared" si="138"/>
        <v>-0.27593425710987274</v>
      </c>
      <c r="AX21" s="350">
        <f t="shared" si="139"/>
        <v>0</v>
      </c>
      <c r="AY21" s="147">
        <v>74762.030088</v>
      </c>
      <c r="AZ21" s="349">
        <f t="shared" si="140"/>
        <v>-2.071946453066964E-3</v>
      </c>
      <c r="BA21" s="350">
        <f t="shared" si="141"/>
        <v>0</v>
      </c>
      <c r="BB21" s="147">
        <v>74654.142443999997</v>
      </c>
      <c r="BC21" s="349">
        <f t="shared" si="142"/>
        <v>-1.4430807172172155E-3</v>
      </c>
      <c r="BD21" s="351">
        <f t="shared" si="143"/>
        <v>0.27792688408493205</v>
      </c>
      <c r="BE21" s="617">
        <v>57707.046391999997</v>
      </c>
      <c r="BF21" s="349">
        <f t="shared" si="127"/>
        <v>-0.22700811364503259</v>
      </c>
      <c r="BG21" s="350">
        <f t="shared" si="0"/>
        <v>-0.44226873203917372</v>
      </c>
      <c r="BH21" s="618">
        <v>57623.529424</v>
      </c>
      <c r="BI21" s="349">
        <f t="shared" si="128"/>
        <v>-1.4472577132551567E-3</v>
      </c>
      <c r="BJ21" s="350">
        <f t="shared" si="1"/>
        <v>-0.23083767938202771</v>
      </c>
      <c r="BK21" s="618">
        <v>54579.834546999999</v>
      </c>
      <c r="BL21" s="349">
        <f t="shared" si="129"/>
        <v>-5.2820347997155404E-2</v>
      </c>
      <c r="BM21" s="350">
        <f t="shared" si="2"/>
        <v>-0.26995248145675266</v>
      </c>
      <c r="BN21" s="618">
        <v>41087.737051999997</v>
      </c>
      <c r="BO21" s="349">
        <f t="shared" si="130"/>
        <v>-0.24719931100893378</v>
      </c>
      <c r="BP21" s="351">
        <f t="shared" si="3"/>
        <v>-0.44962549020208797</v>
      </c>
      <c r="BQ21" s="617">
        <v>36270.455333999998</v>
      </c>
      <c r="BR21" s="349">
        <f t="shared" si="131"/>
        <v>-0.11724378278373715</v>
      </c>
      <c r="BS21" s="350">
        <f t="shared" si="25"/>
        <v>-0.37147267791844185</v>
      </c>
      <c r="BT21" s="618">
        <v>36217.656987000002</v>
      </c>
      <c r="BU21" s="349">
        <f t="shared" si="132"/>
        <v>-1.4556847029847386E-3</v>
      </c>
      <c r="BV21" s="350">
        <f t="shared" si="26"/>
        <v>-0.37147798218837536</v>
      </c>
      <c r="BW21" s="618">
        <v>29487.664896999999</v>
      </c>
      <c r="BX21" s="349">
        <f t="shared" si="133"/>
        <v>-0.1858207473889234</v>
      </c>
      <c r="BY21" s="350">
        <f t="shared" si="27"/>
        <v>-0.45973334031257518</v>
      </c>
      <c r="BZ21" s="618">
        <v>29444.614818999999</v>
      </c>
      <c r="CA21" s="349">
        <f t="shared" si="134"/>
        <v>-1.4599351339067423E-3</v>
      </c>
      <c r="CB21" s="351">
        <f t="shared" si="28"/>
        <v>-0.28337219492678911</v>
      </c>
      <c r="CC21" s="617">
        <v>29393</v>
      </c>
      <c r="CD21" s="349">
        <f t="shared" si="135"/>
        <v>-1.7529459738998554E-3</v>
      </c>
      <c r="CE21" s="350">
        <f t="shared" si="29"/>
        <v>-0.18961590833829589</v>
      </c>
      <c r="CF21" s="618">
        <v>29358.514668</v>
      </c>
      <c r="CG21" s="349">
        <f t="shared" si="30"/>
        <v>-1.1732498213860021E-3</v>
      </c>
      <c r="CH21" s="350">
        <f t="shared" si="31"/>
        <v>-0.60812078854492113</v>
      </c>
      <c r="CI21" s="618">
        <v>29315.464593000001</v>
      </c>
      <c r="CJ21" s="349">
        <f t="shared" si="32"/>
        <v>-1.4663573919467821E-3</v>
      </c>
      <c r="CK21" s="350">
        <f t="shared" si="33"/>
        <v>-0.60788297805057323</v>
      </c>
      <c r="CL21" s="618"/>
      <c r="CM21" s="349">
        <f t="shared" si="34"/>
        <v>-1</v>
      </c>
      <c r="CN21" s="351">
        <f t="shared" si="35"/>
        <v>-1</v>
      </c>
    </row>
    <row r="22" spans="1:93" ht="16.2" customHeight="1" x14ac:dyDescent="0.4">
      <c r="A22" s="156">
        <f t="shared" si="4"/>
        <v>21</v>
      </c>
      <c r="B22" s="32"/>
      <c r="C22" s="33" t="s">
        <v>449</v>
      </c>
      <c r="D22" s="34" t="s">
        <v>450</v>
      </c>
      <c r="E22" s="767">
        <v>2653.0795600000001</v>
      </c>
      <c r="F22" s="768">
        <v>2513.35646</v>
      </c>
      <c r="G22" s="768">
        <v>2543.31068</v>
      </c>
      <c r="H22" s="768">
        <v>2067.170936</v>
      </c>
      <c r="I22" s="777">
        <v>2644.860952</v>
      </c>
      <c r="J22" s="349">
        <f t="shared" si="5"/>
        <v>0.27945923868194322</v>
      </c>
      <c r="K22" s="350">
        <f t="shared" si="6"/>
        <v>-3.0977616065158697E-3</v>
      </c>
      <c r="L22" s="147">
        <v>2442.6254170000002</v>
      </c>
      <c r="M22" s="349">
        <f t="shared" si="7"/>
        <v>-7.6463579246792812E-2</v>
      </c>
      <c r="N22" s="350">
        <f t="shared" si="8"/>
        <v>-2.8142065849266706E-2</v>
      </c>
      <c r="O22" s="147">
        <v>2444.850434</v>
      </c>
      <c r="P22" s="349">
        <f t="shared" si="9"/>
        <v>9.109120803028059E-4</v>
      </c>
      <c r="Q22" s="350">
        <f t="shared" si="10"/>
        <v>-3.8713416640077991E-2</v>
      </c>
      <c r="R22" s="147">
        <v>2926.1996300000001</v>
      </c>
      <c r="S22" s="349">
        <f t="shared" si="11"/>
        <v>0.19688288056642733</v>
      </c>
      <c r="T22" s="351">
        <f t="shared" si="12"/>
        <v>0.41555764888134061</v>
      </c>
      <c r="U22" s="777">
        <v>2927.6384499999999</v>
      </c>
      <c r="V22" s="349">
        <f t="shared" si="115"/>
        <v>4.9170261155406791E-4</v>
      </c>
      <c r="W22" s="350">
        <f t="shared" si="13"/>
        <v>0.10691582776257791</v>
      </c>
      <c r="X22" s="147">
        <v>2896.91426</v>
      </c>
      <c r="Y22" s="349">
        <f t="shared" si="116"/>
        <v>-1.049453015620827E-2</v>
      </c>
      <c r="Z22" s="350">
        <f t="shared" si="14"/>
        <v>0.18598383519563599</v>
      </c>
      <c r="AA22" s="147">
        <v>3116.9389000000001</v>
      </c>
      <c r="AB22" s="349">
        <f t="shared" si="117"/>
        <v>7.5951381453726485E-2</v>
      </c>
      <c r="AC22" s="350">
        <f t="shared" si="15"/>
        <v>0.27489962439150184</v>
      </c>
      <c r="AD22" s="147">
        <v>1846.88456</v>
      </c>
      <c r="AE22" s="349">
        <f t="shared" si="118"/>
        <v>-0.4074684749194154</v>
      </c>
      <c r="AF22" s="351">
        <f t="shared" si="16"/>
        <v>-0.36884533062428149</v>
      </c>
      <c r="AG22" s="777">
        <v>2499.9438500000001</v>
      </c>
      <c r="AH22" s="349">
        <f t="shared" si="119"/>
        <v>0.3536004924964018</v>
      </c>
      <c r="AI22" s="350">
        <f t="shared" si="17"/>
        <v>-0.14608859915745398</v>
      </c>
      <c r="AJ22" s="147">
        <v>2167.72424</v>
      </c>
      <c r="AK22" s="349">
        <f t="shared" si="120"/>
        <v>-0.13289082872801328</v>
      </c>
      <c r="AL22" s="350">
        <f t="shared" si="18"/>
        <v>-0.25171266891412936</v>
      </c>
      <c r="AM22" s="147">
        <v>1754.4033300000001</v>
      </c>
      <c r="AN22" s="349">
        <f t="shared" si="121"/>
        <v>-0.19067042863348704</v>
      </c>
      <c r="AO22" s="350">
        <f t="shared" si="19"/>
        <v>-0.43713900519512905</v>
      </c>
      <c r="AP22" s="147">
        <v>1894.43886</v>
      </c>
      <c r="AQ22" s="349">
        <f t="shared" si="122"/>
        <v>7.9819462038982714E-2</v>
      </c>
      <c r="AR22" s="351">
        <f t="shared" si="20"/>
        <v>2.5748387868920197E-2</v>
      </c>
      <c r="AS22" s="777">
        <v>929.59821999999997</v>
      </c>
      <c r="AT22" s="349">
        <f t="shared" si="136"/>
        <v>-0.50930154589417576</v>
      </c>
      <c r="AU22" s="350">
        <f t="shared" si="137"/>
        <v>-0.62815236030201249</v>
      </c>
      <c r="AV22" s="147">
        <v>859.62824999999998</v>
      </c>
      <c r="AW22" s="349">
        <f t="shared" si="138"/>
        <v>-7.5269044727731882E-2</v>
      </c>
      <c r="AX22" s="350">
        <f t="shared" si="139"/>
        <v>-0.6034420641990883</v>
      </c>
      <c r="AY22" s="147">
        <v>1159.70426</v>
      </c>
      <c r="AZ22" s="349">
        <f t="shared" si="140"/>
        <v>0.34907648742348796</v>
      </c>
      <c r="BA22" s="350">
        <f t="shared" si="141"/>
        <v>-0.3389751146904173</v>
      </c>
      <c r="BB22" s="147">
        <v>1038.0038400000001</v>
      </c>
      <c r="BC22" s="349">
        <f t="shared" si="142"/>
        <v>-0.10494090967640313</v>
      </c>
      <c r="BD22" s="351">
        <f t="shared" si="143"/>
        <v>-0.45207846929406836</v>
      </c>
      <c r="BE22" s="617">
        <v>1248.08843</v>
      </c>
      <c r="BF22" s="349">
        <f t="shared" si="127"/>
        <v>0.20239288324790783</v>
      </c>
      <c r="BG22" s="350">
        <f t="shared" si="0"/>
        <v>0.34261060654784825</v>
      </c>
      <c r="BH22" s="618">
        <v>1919.326883</v>
      </c>
      <c r="BI22" s="349">
        <f t="shared" si="128"/>
        <v>0.53781321648819391</v>
      </c>
      <c r="BJ22" s="350">
        <f t="shared" si="1"/>
        <v>1.232740586410463</v>
      </c>
      <c r="BK22" s="618">
        <v>1646.073153</v>
      </c>
      <c r="BL22" s="349">
        <f t="shared" si="129"/>
        <v>-0.1423695632152514</v>
      </c>
      <c r="BM22" s="350">
        <f t="shared" si="2"/>
        <v>0.41939045132075314</v>
      </c>
      <c r="BN22" s="618">
        <v>1100.2748799999999</v>
      </c>
      <c r="BO22" s="349">
        <f t="shared" si="130"/>
        <v>-0.33157595214117441</v>
      </c>
      <c r="BP22" s="351">
        <f t="shared" si="3"/>
        <v>5.999114608285061E-2</v>
      </c>
      <c r="BQ22" s="617">
        <v>429.00508100000002</v>
      </c>
      <c r="BR22" s="349">
        <f t="shared" si="131"/>
        <v>-0.61009281516996916</v>
      </c>
      <c r="BS22" s="350">
        <f t="shared" si="25"/>
        <v>-0.65627028447014768</v>
      </c>
      <c r="BT22" s="618">
        <v>330.29539</v>
      </c>
      <c r="BU22" s="349">
        <f t="shared" si="132"/>
        <v>-0.23008979467075363</v>
      </c>
      <c r="BV22" s="350">
        <f t="shared" si="26"/>
        <v>-0.82791081971210012</v>
      </c>
      <c r="BW22" s="618">
        <v>603.75545299999999</v>
      </c>
      <c r="BX22" s="349">
        <f t="shared" si="133"/>
        <v>0.82792576366264137</v>
      </c>
      <c r="BY22" s="350">
        <f t="shared" si="27"/>
        <v>-0.63321468921375457</v>
      </c>
      <c r="BZ22" s="618">
        <v>606.68639700000006</v>
      </c>
      <c r="CA22" s="349">
        <f t="shared" si="134"/>
        <v>4.8545217859921053E-3</v>
      </c>
      <c r="CB22" s="351">
        <f t="shared" si="28"/>
        <v>-0.44860470049084455</v>
      </c>
      <c r="CC22" s="617">
        <v>278</v>
      </c>
      <c r="CD22" s="349">
        <f t="shared" si="135"/>
        <v>-0.54177314445373992</v>
      </c>
      <c r="CE22" s="350">
        <f t="shared" si="29"/>
        <v>-0.35198902690851819</v>
      </c>
      <c r="CF22" s="618">
        <v>215.45137600000001</v>
      </c>
      <c r="CG22" s="349">
        <f t="shared" si="30"/>
        <v>-0.22499505035971223</v>
      </c>
      <c r="CH22" s="350">
        <f t="shared" si="31"/>
        <v>-0.74936680361539998</v>
      </c>
      <c r="CI22" s="885">
        <v>262.92154099999999</v>
      </c>
      <c r="CJ22" s="349">
        <f t="shared" si="32"/>
        <v>0.22032890149654927</v>
      </c>
      <c r="CK22" s="350">
        <f t="shared" si="33"/>
        <v>-0.77328569871770581</v>
      </c>
      <c r="CL22" s="618"/>
      <c r="CM22" s="349">
        <f t="shared" si="34"/>
        <v>-1</v>
      </c>
      <c r="CN22" s="351">
        <f t="shared" si="35"/>
        <v>-1</v>
      </c>
    </row>
    <row r="23" spans="1:93" ht="16.2" customHeight="1" x14ac:dyDescent="0.4">
      <c r="A23" s="156">
        <f t="shared" si="4"/>
        <v>22</v>
      </c>
      <c r="B23" s="32"/>
      <c r="C23" s="33" t="s">
        <v>142</v>
      </c>
      <c r="D23" s="34" t="s">
        <v>278</v>
      </c>
      <c r="E23" s="767" t="s">
        <v>126</v>
      </c>
      <c r="F23" s="768">
        <v>23.967948</v>
      </c>
      <c r="G23" s="768">
        <v>12.692591999999999</v>
      </c>
      <c r="H23" s="769" t="s">
        <v>126</v>
      </c>
      <c r="I23" s="777">
        <v>23.352440000000001</v>
      </c>
      <c r="J23" s="349">
        <f t="shared" si="5"/>
        <v>0</v>
      </c>
      <c r="K23" s="350">
        <f t="shared" si="6"/>
        <v>0</v>
      </c>
      <c r="L23" s="147">
        <v>203.22920400000001</v>
      </c>
      <c r="M23" s="349">
        <f t="shared" si="7"/>
        <v>7.7026967631647913</v>
      </c>
      <c r="N23" s="350">
        <f t="shared" si="8"/>
        <v>7.4792074815916667</v>
      </c>
      <c r="O23" s="147">
        <v>150.53615199999999</v>
      </c>
      <c r="P23" s="349">
        <f t="shared" si="9"/>
        <v>-0.2592789370960682</v>
      </c>
      <c r="Q23" s="350">
        <f t="shared" si="10"/>
        <v>10.860158429420878</v>
      </c>
      <c r="R23" s="147">
        <v>251.34474399999999</v>
      </c>
      <c r="S23" s="349">
        <f t="shared" si="11"/>
        <v>0.66966366989372772</v>
      </c>
      <c r="T23" s="351">
        <f t="shared" si="12"/>
        <v>0</v>
      </c>
      <c r="U23" s="777">
        <v>255.455896</v>
      </c>
      <c r="V23" s="349">
        <f t="shared" si="115"/>
        <v>1.635662610076305E-2</v>
      </c>
      <c r="W23" s="350">
        <f t="shared" si="13"/>
        <v>9.9391522256346647</v>
      </c>
      <c r="X23" s="147">
        <v>200.434134</v>
      </c>
      <c r="Y23" s="349">
        <f t="shared" si="116"/>
        <v>-0.21538654171442573</v>
      </c>
      <c r="Z23" s="350">
        <f t="shared" si="14"/>
        <v>-1.3753289118821788E-2</v>
      </c>
      <c r="AA23" s="147">
        <v>258.95601299999998</v>
      </c>
      <c r="AB23" s="349">
        <f t="shared" si="117"/>
        <v>0.29197561229765379</v>
      </c>
      <c r="AC23" s="350">
        <f t="shared" si="15"/>
        <v>0.72022474043311546</v>
      </c>
      <c r="AD23" s="147">
        <v>384.94548200000003</v>
      </c>
      <c r="AE23" s="349">
        <f t="shared" si="118"/>
        <v>0.48652845531723576</v>
      </c>
      <c r="AF23" s="351">
        <f t="shared" si="16"/>
        <v>0.53154379070683899</v>
      </c>
      <c r="AG23" s="777">
        <v>683.58179099999995</v>
      </c>
      <c r="AH23" s="349">
        <f t="shared" si="119"/>
        <v>0.77578858036837506</v>
      </c>
      <c r="AI23" s="350">
        <f t="shared" si="17"/>
        <v>1.6759288069044995</v>
      </c>
      <c r="AJ23" s="147">
        <v>664.17247899999995</v>
      </c>
      <c r="AK23" s="349">
        <f t="shared" si="120"/>
        <v>-2.83935474226229E-2</v>
      </c>
      <c r="AL23" s="350">
        <f t="shared" si="18"/>
        <v>2.3136695120003861</v>
      </c>
      <c r="AM23" s="147">
        <v>670.99253099999999</v>
      </c>
      <c r="AN23" s="349">
        <f t="shared" si="121"/>
        <v>1.0268495331617E-2</v>
      </c>
      <c r="AO23" s="350">
        <f t="shared" si="19"/>
        <v>1.5911448173246319</v>
      </c>
      <c r="AP23" s="147">
        <v>800.74314800000002</v>
      </c>
      <c r="AQ23" s="349">
        <f t="shared" si="122"/>
        <v>0.19337117926876002</v>
      </c>
      <c r="AR23" s="351">
        <f t="shared" si="20"/>
        <v>1.0801468920734076</v>
      </c>
      <c r="AS23" s="777">
        <v>667.17363699999999</v>
      </c>
      <c r="AT23" s="349">
        <f t="shared" si="136"/>
        <v>-0.16680693594895435</v>
      </c>
      <c r="AU23" s="350">
        <f t="shared" si="137"/>
        <v>-2.4003205199478406E-2</v>
      </c>
      <c r="AV23" s="147">
        <v>744.25419899999997</v>
      </c>
      <c r="AW23" s="349">
        <f t="shared" si="138"/>
        <v>0.11553298530589262</v>
      </c>
      <c r="AX23" s="350">
        <f t="shared" si="139"/>
        <v>0.1205736800786652</v>
      </c>
      <c r="AY23" s="147">
        <v>986.79746599999999</v>
      </c>
      <c r="AZ23" s="349">
        <f t="shared" si="140"/>
        <v>0.32588767026895882</v>
      </c>
      <c r="BA23" s="350">
        <f t="shared" si="141"/>
        <v>0.47065342818249634</v>
      </c>
      <c r="BB23" s="147">
        <v>1090.6440809999999</v>
      </c>
      <c r="BC23" s="349">
        <f t="shared" si="142"/>
        <v>0.10523599682612073</v>
      </c>
      <c r="BD23" s="351">
        <f t="shared" si="143"/>
        <v>0.36203985475752076</v>
      </c>
      <c r="BE23" s="617">
        <v>1105.370535</v>
      </c>
      <c r="BF23" s="349">
        <f t="shared" si="127"/>
        <v>1.3502529612132941E-2</v>
      </c>
      <c r="BG23" s="350">
        <f t="shared" si="0"/>
        <v>0.65679588295842706</v>
      </c>
      <c r="BH23" s="618">
        <v>1475.1587919999999</v>
      </c>
      <c r="BI23" s="349">
        <f t="shared" si="128"/>
        <v>0.33453782717303926</v>
      </c>
      <c r="BJ23" s="350">
        <f t="shared" si="1"/>
        <v>0.98206310959624155</v>
      </c>
      <c r="BK23" s="618">
        <v>1417.4187850000001</v>
      </c>
      <c r="BL23" s="349">
        <f t="shared" si="129"/>
        <v>-3.9141553650449246E-2</v>
      </c>
      <c r="BM23" s="350">
        <f t="shared" si="2"/>
        <v>0.43638267611846504</v>
      </c>
      <c r="BN23" s="618">
        <v>1217.303762</v>
      </c>
      <c r="BO23" s="349">
        <f t="shared" si="130"/>
        <v>-0.14118270839764557</v>
      </c>
      <c r="BP23" s="351">
        <f t="shared" si="3"/>
        <v>0.11613291925984437</v>
      </c>
      <c r="BQ23" s="617">
        <v>1018.943565</v>
      </c>
      <c r="BR23" s="349">
        <f t="shared" si="131"/>
        <v>-0.16295045098201211</v>
      </c>
      <c r="BS23" s="350">
        <f t="shared" si="25"/>
        <v>-7.8188233957222297E-2</v>
      </c>
      <c r="BT23" s="618">
        <v>882.26792699999987</v>
      </c>
      <c r="BU23" s="349">
        <f t="shared" si="132"/>
        <v>-0.13413464954754406</v>
      </c>
      <c r="BV23" s="350">
        <f t="shared" si="26"/>
        <v>-0.4019166399002827</v>
      </c>
      <c r="BW23" s="618">
        <v>835.52928899999984</v>
      </c>
      <c r="BX23" s="349">
        <f t="shared" si="133"/>
        <v>-5.2975560563474966E-2</v>
      </c>
      <c r="BY23" s="350">
        <f t="shared" si="27"/>
        <v>-0.41052757460103806</v>
      </c>
      <c r="BZ23" s="618">
        <v>773.10977500000001</v>
      </c>
      <c r="CA23" s="349">
        <f t="shared" si="134"/>
        <v>-7.4706554063121322E-2</v>
      </c>
      <c r="CB23" s="351">
        <f t="shared" si="28"/>
        <v>-0.36489987205017771</v>
      </c>
      <c r="CC23" s="617">
        <v>558</v>
      </c>
      <c r="CD23" s="349">
        <f t="shared" si="135"/>
        <v>-0.27823962644890887</v>
      </c>
      <c r="CE23" s="350">
        <f t="shared" si="29"/>
        <v>-0.45237398893627634</v>
      </c>
      <c r="CF23" s="618">
        <v>431.07337200000001</v>
      </c>
      <c r="CG23" s="349">
        <f t="shared" si="30"/>
        <v>-0.22746707526881715</v>
      </c>
      <c r="CH23" s="350">
        <f t="shared" si="31"/>
        <v>-0.42079819962157849</v>
      </c>
      <c r="CI23" s="618">
        <v>358.99262199999998</v>
      </c>
      <c r="CJ23" s="349">
        <f t="shared" si="32"/>
        <v>-0.16721225360215486</v>
      </c>
      <c r="CK23" s="350">
        <f t="shared" si="33"/>
        <v>-0.63620435360947714</v>
      </c>
      <c r="CL23" s="618"/>
      <c r="CM23" s="349">
        <f t="shared" si="34"/>
        <v>-1</v>
      </c>
      <c r="CN23" s="351">
        <f t="shared" si="35"/>
        <v>-1</v>
      </c>
    </row>
    <row r="24" spans="1:93" ht="16.2" customHeight="1" x14ac:dyDescent="0.4">
      <c r="A24" s="156">
        <f t="shared" si="4"/>
        <v>23</v>
      </c>
      <c r="B24" s="32"/>
      <c r="C24" s="33" t="s">
        <v>143</v>
      </c>
      <c r="D24" s="34" t="s">
        <v>220</v>
      </c>
      <c r="E24" s="767">
        <v>474.29177600000003</v>
      </c>
      <c r="F24" s="768">
        <v>310.78884699999998</v>
      </c>
      <c r="G24" s="768">
        <v>313.317318</v>
      </c>
      <c r="H24" s="768">
        <v>385.551557</v>
      </c>
      <c r="I24" s="777">
        <v>381.530822</v>
      </c>
      <c r="J24" s="349">
        <f t="shared" si="5"/>
        <v>-1.0428527461503689E-2</v>
      </c>
      <c r="K24" s="350">
        <f t="shared" si="6"/>
        <v>-0.19557782507280919</v>
      </c>
      <c r="L24" s="147">
        <v>464.77919100000003</v>
      </c>
      <c r="M24" s="349">
        <f t="shared" si="7"/>
        <v>0.21819565864589574</v>
      </c>
      <c r="N24" s="350">
        <f t="shared" si="8"/>
        <v>0.49548220757098171</v>
      </c>
      <c r="O24" s="147">
        <v>538.01268500000003</v>
      </c>
      <c r="P24" s="349">
        <f t="shared" si="9"/>
        <v>0.15756620653010267</v>
      </c>
      <c r="Q24" s="350">
        <f t="shared" si="10"/>
        <v>0.7171495289002825</v>
      </c>
      <c r="R24" s="147">
        <v>611.72805200000005</v>
      </c>
      <c r="S24" s="349">
        <f t="shared" si="11"/>
        <v>0.13701418025115886</v>
      </c>
      <c r="T24" s="351">
        <f t="shared" si="12"/>
        <v>0.58663099887312886</v>
      </c>
      <c r="U24" s="777">
        <v>609.74727299999995</v>
      </c>
      <c r="V24" s="349">
        <f t="shared" si="115"/>
        <v>-3.2380058320427008E-3</v>
      </c>
      <c r="W24" s="350">
        <f t="shared" si="13"/>
        <v>0.59815993319669447</v>
      </c>
      <c r="X24" s="147">
        <v>609.34306300000003</v>
      </c>
      <c r="Y24" s="349">
        <f t="shared" si="116"/>
        <v>-6.629139938768569E-4</v>
      </c>
      <c r="Z24" s="350">
        <f t="shared" si="14"/>
        <v>0.31103774609392953</v>
      </c>
      <c r="AA24" s="147">
        <v>608.51300000000003</v>
      </c>
      <c r="AB24" s="349">
        <f t="shared" si="117"/>
        <v>-1.3622260601660052E-3</v>
      </c>
      <c r="AC24" s="350">
        <f t="shared" si="15"/>
        <v>0.13103838806328505</v>
      </c>
      <c r="AD24" s="147">
        <v>1085.6728989999999</v>
      </c>
      <c r="AE24" s="349">
        <f t="shared" si="118"/>
        <v>0.78414084662118944</v>
      </c>
      <c r="AF24" s="351">
        <f t="shared" si="16"/>
        <v>0.77476395834794887</v>
      </c>
      <c r="AG24" s="777">
        <v>1080.786724</v>
      </c>
      <c r="AH24" s="349">
        <f t="shared" si="119"/>
        <v>-4.5005959018600272E-3</v>
      </c>
      <c r="AI24" s="350">
        <f t="shared" si="17"/>
        <v>0.77251587970611579</v>
      </c>
      <c r="AJ24" s="147">
        <v>1079.931556</v>
      </c>
      <c r="AK24" s="349">
        <f t="shared" si="120"/>
        <v>-7.9124584065493053E-4</v>
      </c>
      <c r="AL24" s="350">
        <f t="shared" si="18"/>
        <v>0.77228825857659755</v>
      </c>
      <c r="AM24" s="147">
        <v>1073.201781</v>
      </c>
      <c r="AN24" s="349">
        <f t="shared" si="121"/>
        <v>-6.2316680743422781E-3</v>
      </c>
      <c r="AO24" s="350">
        <f t="shared" si="19"/>
        <v>0.76364643154706635</v>
      </c>
      <c r="AP24" s="147">
        <v>0</v>
      </c>
      <c r="AQ24" s="349">
        <f t="shared" si="122"/>
        <v>-1</v>
      </c>
      <c r="AR24" s="351">
        <f t="shared" si="20"/>
        <v>-1</v>
      </c>
      <c r="AS24" s="777">
        <v>0</v>
      </c>
      <c r="AT24" s="349">
        <f t="shared" si="136"/>
        <v>0</v>
      </c>
      <c r="AU24" s="350">
        <f t="shared" si="137"/>
        <v>-1</v>
      </c>
      <c r="AV24" s="147">
        <v>0</v>
      </c>
      <c r="AW24" s="349">
        <f t="shared" si="138"/>
        <v>0</v>
      </c>
      <c r="AX24" s="350">
        <f t="shared" si="139"/>
        <v>-1</v>
      </c>
      <c r="AY24" s="147">
        <v>0</v>
      </c>
      <c r="AZ24" s="349">
        <f t="shared" si="140"/>
        <v>0</v>
      </c>
      <c r="BA24" s="350">
        <f t="shared" si="141"/>
        <v>-1</v>
      </c>
      <c r="BB24" s="147">
        <v>788.00773700000002</v>
      </c>
      <c r="BC24" s="349">
        <f t="shared" si="142"/>
        <v>0</v>
      </c>
      <c r="BD24" s="351">
        <f t="shared" si="143"/>
        <v>0</v>
      </c>
      <c r="BE24" s="617">
        <v>797.83571099999995</v>
      </c>
      <c r="BF24" s="349">
        <f t="shared" si="127"/>
        <v>1.2471925767398861E-2</v>
      </c>
      <c r="BG24" s="350">
        <f t="shared" si="0"/>
        <v>0</v>
      </c>
      <c r="BH24" s="618">
        <v>217.46075999999999</v>
      </c>
      <c r="BI24" s="349">
        <f t="shared" si="128"/>
        <v>-0.727436667722686</v>
      </c>
      <c r="BJ24" s="350">
        <f t="shared" si="1"/>
        <v>0</v>
      </c>
      <c r="BK24" s="618">
        <v>217.46075999999999</v>
      </c>
      <c r="BL24" s="349">
        <f t="shared" si="129"/>
        <v>0</v>
      </c>
      <c r="BM24" s="350">
        <f t="shared" si="2"/>
        <v>0</v>
      </c>
      <c r="BN24" s="618">
        <v>1381.8306829999999</v>
      </c>
      <c r="BO24" s="349">
        <f t="shared" si="130"/>
        <v>5.3543909393124531</v>
      </c>
      <c r="BP24" s="351">
        <f t="shared" si="3"/>
        <v>0.75357501978435515</v>
      </c>
      <c r="BQ24" s="617">
        <v>1381.8306829999999</v>
      </c>
      <c r="BR24" s="349">
        <f t="shared" si="131"/>
        <v>0</v>
      </c>
      <c r="BS24" s="350">
        <f t="shared" si="25"/>
        <v>0.73197396901177325</v>
      </c>
      <c r="BT24" s="618">
        <v>1169.612626932</v>
      </c>
      <c r="BU24" s="349">
        <f t="shared" si="132"/>
        <v>-0.15357746696380159</v>
      </c>
      <c r="BV24" s="350">
        <f t="shared" si="26"/>
        <v>4.3784996747551146</v>
      </c>
      <c r="BW24" s="618">
        <v>1359.232555</v>
      </c>
      <c r="BX24" s="349">
        <f t="shared" si="133"/>
        <v>0.16212199124883786</v>
      </c>
      <c r="BY24" s="350">
        <f t="shared" si="27"/>
        <v>5.2504727519576413</v>
      </c>
      <c r="BZ24" s="618">
        <v>0</v>
      </c>
      <c r="CA24" s="349">
        <f t="shared" si="134"/>
        <v>-1</v>
      </c>
      <c r="CB24" s="351">
        <f t="shared" si="28"/>
        <v>-1</v>
      </c>
      <c r="CC24" s="617">
        <v>0</v>
      </c>
      <c r="CD24" s="349">
        <f t="shared" si="135"/>
        <v>0</v>
      </c>
      <c r="CE24" s="350">
        <f t="shared" si="29"/>
        <v>-1</v>
      </c>
      <c r="CF24" s="618">
        <v>0</v>
      </c>
      <c r="CG24" s="349">
        <f t="shared" si="30"/>
        <v>0</v>
      </c>
      <c r="CH24" s="350">
        <f t="shared" si="31"/>
        <v>0</v>
      </c>
      <c r="CI24" s="618">
        <v>0</v>
      </c>
      <c r="CJ24" s="349">
        <f t="shared" si="32"/>
        <v>0</v>
      </c>
      <c r="CK24" s="350">
        <f t="shared" si="33"/>
        <v>0</v>
      </c>
      <c r="CL24" s="618"/>
      <c r="CM24" s="349">
        <f t="shared" si="34"/>
        <v>0</v>
      </c>
      <c r="CN24" s="351">
        <f t="shared" si="35"/>
        <v>-1</v>
      </c>
    </row>
    <row r="25" spans="1:93" s="21" customFormat="1" ht="16.2" customHeight="1" x14ac:dyDescent="0.4">
      <c r="A25" s="156">
        <f t="shared" si="4"/>
        <v>24</v>
      </c>
      <c r="B25" s="25" t="s">
        <v>21</v>
      </c>
      <c r="C25" s="26"/>
      <c r="D25" s="27" t="s">
        <v>213</v>
      </c>
      <c r="E25" s="763">
        <f t="shared" ref="E25:O25" si="144">E26+E37</f>
        <v>28686.775132999999</v>
      </c>
      <c r="F25" s="764">
        <f t="shared" si="144"/>
        <v>25552.107796</v>
      </c>
      <c r="G25" s="764">
        <f t="shared" si="144"/>
        <v>21164.073850000001</v>
      </c>
      <c r="H25" s="764">
        <f t="shared" si="144"/>
        <v>24634.180260000001</v>
      </c>
      <c r="I25" s="775">
        <f t="shared" si="144"/>
        <v>26762.678683999999</v>
      </c>
      <c r="J25" s="342">
        <f t="shared" si="5"/>
        <v>8.6404272500034018E-2</v>
      </c>
      <c r="K25" s="343">
        <f t="shared" si="6"/>
        <v>-6.7072594952877984E-2</v>
      </c>
      <c r="L25" s="344">
        <f t="shared" si="144"/>
        <v>23525.187862999999</v>
      </c>
      <c r="M25" s="342">
        <f t="shared" si="7"/>
        <v>-0.12097035798346767</v>
      </c>
      <c r="N25" s="343">
        <f t="shared" si="8"/>
        <v>-7.9324960163063341E-2</v>
      </c>
      <c r="O25" s="344">
        <f t="shared" si="144"/>
        <v>25328.675691</v>
      </c>
      <c r="P25" s="342">
        <f t="shared" si="9"/>
        <v>7.6661994731038741E-2</v>
      </c>
      <c r="Q25" s="343">
        <f t="shared" si="10"/>
        <v>0.19677694712825811</v>
      </c>
      <c r="R25" s="344">
        <f>R26+R37</f>
        <v>25740.865728999997</v>
      </c>
      <c r="S25" s="342">
        <f t="shared" si="11"/>
        <v>1.6273651375561693E-2</v>
      </c>
      <c r="T25" s="345">
        <f t="shared" si="12"/>
        <v>4.4924793815728892E-2</v>
      </c>
      <c r="U25" s="775">
        <f>U26+U37</f>
        <v>28209.630053000004</v>
      </c>
      <c r="V25" s="342">
        <f>IFERROR(U25/R25-1,0)</f>
        <v>9.5908364154926762E-2</v>
      </c>
      <c r="W25" s="343">
        <f t="shared" si="13"/>
        <v>5.4066014321094924E-2</v>
      </c>
      <c r="X25" s="344">
        <f>X26+X37</f>
        <v>21376.540517000001</v>
      </c>
      <c r="Y25" s="342">
        <f>IFERROR(X25/U25-1,0)</f>
        <v>-0.24222542171457251</v>
      </c>
      <c r="Z25" s="343">
        <f t="shared" si="14"/>
        <v>-9.1333908086632221E-2</v>
      </c>
      <c r="AA25" s="344">
        <f>AA26+AA37</f>
        <v>13144.883176000001</v>
      </c>
      <c r="AB25" s="342">
        <f>IFERROR(AA25/X25-1,0)</f>
        <v>-0.38507902316811538</v>
      </c>
      <c r="AC25" s="343">
        <f t="shared" si="15"/>
        <v>-0.48102761722079479</v>
      </c>
      <c r="AD25" s="344">
        <f>AD26+AD37</f>
        <v>13769.236723</v>
      </c>
      <c r="AE25" s="342">
        <f>IFERROR(AD25/AA25-1,0)</f>
        <v>4.7497839169841072E-2</v>
      </c>
      <c r="AF25" s="345">
        <f t="shared" si="16"/>
        <v>-0.46508260957643721</v>
      </c>
      <c r="AG25" s="775">
        <f>AG26+AG37</f>
        <v>19288.219024999999</v>
      </c>
      <c r="AH25" s="342">
        <f>IFERROR(AG25/AD25-1,0)</f>
        <v>0.40081977040754513</v>
      </c>
      <c r="AI25" s="343">
        <f t="shared" si="17"/>
        <v>-0.31625409518800984</v>
      </c>
      <c r="AJ25" s="344">
        <f>AJ26+AJ37</f>
        <v>17514.066761000002</v>
      </c>
      <c r="AK25" s="342">
        <f>IFERROR(AJ25/AG25-1,0)</f>
        <v>-9.1981134271674758E-2</v>
      </c>
      <c r="AL25" s="343">
        <f t="shared" si="18"/>
        <v>-0.18068750427265401</v>
      </c>
      <c r="AM25" s="344">
        <f>AM26+AM37</f>
        <v>19602.026471000001</v>
      </c>
      <c r="AN25" s="342">
        <f>IFERROR(AM25/AJ25-1,0)</f>
        <v>0.11921615570459232</v>
      </c>
      <c r="AO25" s="343">
        <f t="shared" si="19"/>
        <v>0.49122865593735265</v>
      </c>
      <c r="AP25" s="344">
        <f>AP26+AP37</f>
        <v>52634.773983999999</v>
      </c>
      <c r="AQ25" s="342">
        <f>IFERROR(AP25/AM25-1,0)</f>
        <v>1.6851700288166596</v>
      </c>
      <c r="AR25" s="345">
        <f t="shared" si="20"/>
        <v>2.8226355638202794</v>
      </c>
      <c r="AS25" s="775">
        <f>AS26+AS37</f>
        <v>131659.39084800001</v>
      </c>
      <c r="AT25" s="342">
        <f>IFERROR(AS25/AP25-1,0)</f>
        <v>1.5013765783058561</v>
      </c>
      <c r="AU25" s="343">
        <f t="shared" si="137"/>
        <v>5.825896713291808</v>
      </c>
      <c r="AV25" s="344">
        <f>AV26+AV37</f>
        <v>125937.03655</v>
      </c>
      <c r="AW25" s="342">
        <f>IFERROR(AV25/AS25-1,0)</f>
        <v>-4.3463320475228606E-2</v>
      </c>
      <c r="AX25" s="343">
        <f t="shared" si="139"/>
        <v>6.19062215923684</v>
      </c>
      <c r="AY25" s="344">
        <f>AY26+AY37</f>
        <v>132548.07626100001</v>
      </c>
      <c r="AZ25" s="342">
        <f>IFERROR(AY25/AV25-1,0)</f>
        <v>5.2494801307916061E-2</v>
      </c>
      <c r="BA25" s="343">
        <f t="shared" si="141"/>
        <v>5.7619578239574762</v>
      </c>
      <c r="BB25" s="344">
        <f>BB26+BB37</f>
        <v>101857.251139</v>
      </c>
      <c r="BC25" s="342">
        <f>IFERROR(BB25/AY25-1,0)</f>
        <v>-0.23154485517818302</v>
      </c>
      <c r="BD25" s="345">
        <f t="shared" si="143"/>
        <v>0.93517029578131616</v>
      </c>
      <c r="BE25" s="613">
        <f>BE26+BE37</f>
        <v>111471.354148</v>
      </c>
      <c r="BF25" s="342">
        <f>IFERROR(BE25/BB25-1,0)</f>
        <v>9.4388007741148083E-2</v>
      </c>
      <c r="BG25" s="343">
        <f t="shared" si="0"/>
        <v>-0.1533353342285092</v>
      </c>
      <c r="BH25" s="614">
        <f>BH26+BH37</f>
        <v>99556.264697999999</v>
      </c>
      <c r="BI25" s="342">
        <f>IFERROR(BH25/BE25-1,0)</f>
        <v>-0.10688925007747185</v>
      </c>
      <c r="BJ25" s="343">
        <f t="shared" si="1"/>
        <v>-0.20947588235114778</v>
      </c>
      <c r="BK25" s="614">
        <f>BK26+BK37</f>
        <v>91940.687735</v>
      </c>
      <c r="BL25" s="342">
        <f>IFERROR(BK25/BH25-1,0)</f>
        <v>-7.6495205862750604E-2</v>
      </c>
      <c r="BM25" s="343">
        <f t="shared" si="2"/>
        <v>-0.30635969733759183</v>
      </c>
      <c r="BN25" s="614">
        <f>BN26+BN37</f>
        <v>91942.522090999992</v>
      </c>
      <c r="BO25" s="342">
        <f>IFERROR(BN25/BK25-1,0)</f>
        <v>1.9951514886207278E-5</v>
      </c>
      <c r="BP25" s="345">
        <f t="shared" si="3"/>
        <v>-9.7339452391757786E-2</v>
      </c>
      <c r="BQ25" s="613">
        <f>BQ26+BQ37</f>
        <v>105627.39580699999</v>
      </c>
      <c r="BR25" s="342">
        <f>IFERROR(BQ25/BN25-1,0)</f>
        <v>0.14884161761905346</v>
      </c>
      <c r="BS25" s="343">
        <f t="shared" si="25"/>
        <v>-5.2425651286526986E-2</v>
      </c>
      <c r="BT25" s="614">
        <f>BT26+BT37</f>
        <v>93593.965893000001</v>
      </c>
      <c r="BU25" s="342">
        <f>IFERROR(BT25/BQ25-1,0)</f>
        <v>-0.1139233796503627</v>
      </c>
      <c r="BV25" s="343">
        <f t="shared" si="26"/>
        <v>-5.9888735511385405E-2</v>
      </c>
      <c r="BW25" s="614">
        <f>BW26+BW37</f>
        <v>91694.121572000004</v>
      </c>
      <c r="BX25" s="342">
        <f>IFERROR(BW25/BT25-1,0)</f>
        <v>-2.0298790663192623E-2</v>
      </c>
      <c r="BY25" s="343">
        <f t="shared" si="27"/>
        <v>-2.6817959390370572E-3</v>
      </c>
      <c r="BZ25" s="614">
        <f>BZ26+BZ37</f>
        <v>155734.90407300001</v>
      </c>
      <c r="CA25" s="342">
        <f>IFERROR(BZ25/BW25-1,0)</f>
        <v>0.69841753651256644</v>
      </c>
      <c r="CB25" s="345">
        <f t="shared" si="28"/>
        <v>0.69382893280719005</v>
      </c>
      <c r="CC25" s="613">
        <f>CC26+CC37</f>
        <v>165153.622</v>
      </c>
      <c r="CD25" s="342">
        <f>IFERROR(CC25/BZ25-1,0)</f>
        <v>6.047917121125912E-2</v>
      </c>
      <c r="CE25" s="343">
        <f t="shared" si="29"/>
        <v>0.56354912225389886</v>
      </c>
      <c r="CF25" s="614">
        <f>CF26+CF37</f>
        <v>131814.81640900002</v>
      </c>
      <c r="CG25" s="342">
        <f t="shared" si="30"/>
        <v>-0.20186542194636203</v>
      </c>
      <c r="CH25" s="343">
        <f t="shared" si="31"/>
        <v>4.6672369145881909E-2</v>
      </c>
      <c r="CI25" s="614">
        <f>CI26+CI37</f>
        <v>136049.13924300001</v>
      </c>
      <c r="CJ25" s="342">
        <f t="shared" si="32"/>
        <v>3.2123269214756389E-2</v>
      </c>
      <c r="CK25" s="343">
        <f t="shared" si="33"/>
        <v>2.6413532966755859E-2</v>
      </c>
      <c r="CL25" s="614"/>
      <c r="CM25" s="342">
        <f t="shared" si="34"/>
        <v>-1</v>
      </c>
      <c r="CN25" s="345">
        <f t="shared" si="35"/>
        <v>-1</v>
      </c>
    </row>
    <row r="26" spans="1:93" s="31" customFormat="1" ht="16.2" customHeight="1" x14ac:dyDescent="0.4">
      <c r="A26" s="156">
        <f t="shared" si="4"/>
        <v>25</v>
      </c>
      <c r="B26" s="28" t="s">
        <v>22</v>
      </c>
      <c r="C26" s="29"/>
      <c r="D26" s="30" t="s">
        <v>277</v>
      </c>
      <c r="E26" s="765">
        <f t="shared" ref="E26" si="145">SUM(E27:E35)</f>
        <v>15629.550952</v>
      </c>
      <c r="F26" s="766">
        <f t="shared" ref="F26:O26" si="146">SUM(F27:F35)</f>
        <v>14544.107796</v>
      </c>
      <c r="G26" s="766">
        <f t="shared" si="146"/>
        <v>10756.073849999999</v>
      </c>
      <c r="H26" s="766">
        <f t="shared" si="146"/>
        <v>14824.976246999999</v>
      </c>
      <c r="I26" s="776">
        <f t="shared" si="146"/>
        <v>17327.439812999997</v>
      </c>
      <c r="J26" s="346">
        <f t="shared" si="5"/>
        <v>0.16880051099619142</v>
      </c>
      <c r="K26" s="347">
        <f t="shared" si="6"/>
        <v>0.10863324648381734</v>
      </c>
      <c r="L26" s="148">
        <f t="shared" si="146"/>
        <v>14811.451136</v>
      </c>
      <c r="M26" s="346">
        <f t="shared" si="7"/>
        <v>-0.14520256334189452</v>
      </c>
      <c r="N26" s="347">
        <f t="shared" si="8"/>
        <v>1.8381556555399303E-2</v>
      </c>
      <c r="O26" s="148">
        <f t="shared" si="146"/>
        <v>25087.843038999999</v>
      </c>
      <c r="P26" s="346">
        <f t="shared" si="9"/>
        <v>0.69381398275167627</v>
      </c>
      <c r="Q26" s="347">
        <f t="shared" si="10"/>
        <v>1.3324349933688864</v>
      </c>
      <c r="R26" s="148">
        <f>SUM(R27:R35)</f>
        <v>25487.018111999998</v>
      </c>
      <c r="S26" s="346">
        <f t="shared" si="11"/>
        <v>1.5911095759785665E-2</v>
      </c>
      <c r="T26" s="348">
        <f t="shared" si="12"/>
        <v>0.71919453275060619</v>
      </c>
      <c r="U26" s="776">
        <f>SUM(U27:U35)</f>
        <v>27963.029330000005</v>
      </c>
      <c r="V26" s="346">
        <f>IFERROR(U26/R26-1,0)</f>
        <v>9.7147936534569768E-2</v>
      </c>
      <c r="W26" s="347">
        <f t="shared" si="13"/>
        <v>0.61380040166237393</v>
      </c>
      <c r="X26" s="148">
        <f>SUM(X27:X35)</f>
        <v>21165.697470000003</v>
      </c>
      <c r="Y26" s="346">
        <f>IFERROR(X26/U26-1,0)</f>
        <v>-0.24308281408937038</v>
      </c>
      <c r="Z26" s="347">
        <f t="shared" si="14"/>
        <v>0.42900903332528162</v>
      </c>
      <c r="AA26" s="148">
        <f>SUM(AA27:AA35)</f>
        <v>12930.955371000002</v>
      </c>
      <c r="AB26" s="346">
        <f>IFERROR(AA26/X26-1,0)</f>
        <v>-0.38906074844317429</v>
      </c>
      <c r="AC26" s="347">
        <f t="shared" si="15"/>
        <v>-0.48457285264028704</v>
      </c>
      <c r="AD26" s="148">
        <f>SUM(AD27:AD35)</f>
        <v>13449.682548999999</v>
      </c>
      <c r="AE26" s="346">
        <f>IFERROR(AD26/AA26-1,0)</f>
        <v>4.0115147188840794E-2</v>
      </c>
      <c r="AF26" s="348">
        <f t="shared" si="16"/>
        <v>-0.47229281629193354</v>
      </c>
      <c r="AG26" s="776">
        <f>SUM(AG27:AG35)</f>
        <v>18821.180475999998</v>
      </c>
      <c r="AH26" s="346">
        <f>IFERROR(AG26/AD26-1,0)</f>
        <v>0.39937730183820408</v>
      </c>
      <c r="AI26" s="347">
        <f t="shared" si="17"/>
        <v>-0.32692626918615775</v>
      </c>
      <c r="AJ26" s="148">
        <f>SUM(AJ27:AJ35)</f>
        <v>17084.193186</v>
      </c>
      <c r="AK26" s="346">
        <f>IFERROR(AJ26/AG26-1,0)</f>
        <v>-9.2288966264094441E-2</v>
      </c>
      <c r="AL26" s="347">
        <f t="shared" si="18"/>
        <v>-0.19283580377094001</v>
      </c>
      <c r="AM26" s="148">
        <f>SUM(AM27:AM35)</f>
        <v>19161.16633</v>
      </c>
      <c r="AN26" s="346">
        <f>IFERROR(AM26/AJ26-1,0)</f>
        <v>0.12157279664233833</v>
      </c>
      <c r="AO26" s="347">
        <f t="shared" si="19"/>
        <v>0.48180592850644044</v>
      </c>
      <c r="AP26" s="148">
        <f>SUM(AP27:AP35)</f>
        <v>16793.038427</v>
      </c>
      <c r="AQ26" s="346">
        <f>IFERROR(AP26/AM26-1,0)</f>
        <v>-0.12358996640472253</v>
      </c>
      <c r="AR26" s="348">
        <f t="shared" si="20"/>
        <v>0.24858251232469297</v>
      </c>
      <c r="AS26" s="776">
        <f>SUM(AS27:AS35)</f>
        <v>28639.066834999998</v>
      </c>
      <c r="AT26" s="346">
        <f>IFERROR(AS26/AP26-1,0)</f>
        <v>0.70541304716803643</v>
      </c>
      <c r="AU26" s="347">
        <f t="shared" si="137"/>
        <v>0.52164030686169593</v>
      </c>
      <c r="AV26" s="148">
        <f>SUM(AV27:AV35)</f>
        <v>23830.713971999998</v>
      </c>
      <c r="AW26" s="346">
        <f>IFERROR(AV26/AS26-1,0)</f>
        <v>-0.1678948860555638</v>
      </c>
      <c r="AX26" s="347">
        <f t="shared" si="139"/>
        <v>0.39489841355391464</v>
      </c>
      <c r="AY26" s="148">
        <f>SUM(AY27:AY35)</f>
        <v>30950.188412999996</v>
      </c>
      <c r="AZ26" s="346">
        <f>IFERROR(AY26/AV26-1,0)</f>
        <v>0.29875204114174081</v>
      </c>
      <c r="BA26" s="347">
        <f t="shared" si="141"/>
        <v>0.61525597554791411</v>
      </c>
      <c r="BB26" s="148">
        <f>SUM(BB27:BB35)</f>
        <v>36225.225301999999</v>
      </c>
      <c r="BC26" s="346">
        <f>IFERROR(BB26/AY26-1,0)</f>
        <v>0.17043634173110012</v>
      </c>
      <c r="BD26" s="348">
        <f t="shared" si="143"/>
        <v>1.1571572922596753</v>
      </c>
      <c r="BE26" s="615">
        <f>SUM(BE27:BE35)</f>
        <v>46341.958490999998</v>
      </c>
      <c r="BF26" s="346">
        <f>IFERROR(BE26/BB26-1,0)</f>
        <v>0.27927316130291824</v>
      </c>
      <c r="BG26" s="347">
        <f t="shared" si="0"/>
        <v>0.61813786594349418</v>
      </c>
      <c r="BH26" s="616">
        <f>SUM(BH27:BH35)</f>
        <v>34842.197817</v>
      </c>
      <c r="BI26" s="346">
        <f>IFERROR(BH26/BE26-1,0)</f>
        <v>-0.24815007929009625</v>
      </c>
      <c r="BJ26" s="347">
        <f t="shared" si="1"/>
        <v>0.46207108431321009</v>
      </c>
      <c r="BK26" s="616">
        <f>SUM(BK27:BK35)</f>
        <v>28294.889489999998</v>
      </c>
      <c r="BL26" s="346">
        <f>IFERROR(BK26/BH26-1,0)</f>
        <v>-0.18791318393254397</v>
      </c>
      <c r="BM26" s="347">
        <f t="shared" si="2"/>
        <v>-8.5792657788302695E-2</v>
      </c>
      <c r="BN26" s="616">
        <f>SUM(BN27:BN35)</f>
        <v>29246.386637999996</v>
      </c>
      <c r="BO26" s="346">
        <f>IFERROR(BN26/BK26-1,0)</f>
        <v>3.3627879986464659E-2</v>
      </c>
      <c r="BP26" s="348">
        <f t="shared" si="3"/>
        <v>-0.19265135291276436</v>
      </c>
      <c r="BQ26" s="615">
        <f>SUM(BQ27:BQ35)</f>
        <v>105042.69976599999</v>
      </c>
      <c r="BR26" s="346">
        <f>IFERROR(BQ26/BN26-1,0)</f>
        <v>2.5916471004153867</v>
      </c>
      <c r="BS26" s="347">
        <f t="shared" si="25"/>
        <v>1.2666866741594482</v>
      </c>
      <c r="BT26" s="616">
        <f>SUM(BT27:BT35)</f>
        <v>93051.082527999999</v>
      </c>
      <c r="BU26" s="346">
        <f>IFERROR(BT26/BQ26-1,0)</f>
        <v>-0.11415945386698267</v>
      </c>
      <c r="BV26" s="347">
        <f t="shared" si="26"/>
        <v>1.6706433106409566</v>
      </c>
      <c r="BW26" s="616">
        <f>SUM(BW27:BW35)</f>
        <v>91165.170486000003</v>
      </c>
      <c r="BX26" s="346">
        <f>IFERROR(BW26/BT26-1,0)</f>
        <v>-2.0267491691270845E-2</v>
      </c>
      <c r="BY26" s="347">
        <f t="shared" si="27"/>
        <v>2.2219659496539004</v>
      </c>
      <c r="BZ26" s="616">
        <f>SUM(BZ27:BZ36)</f>
        <v>128903.661305</v>
      </c>
      <c r="CA26" s="346">
        <f>IFERROR(BZ26/BW26-1,0)</f>
        <v>0.41395733280392877</v>
      </c>
      <c r="CB26" s="348">
        <f t="shared" si="28"/>
        <v>3.4075072555292945</v>
      </c>
      <c r="CC26" s="615">
        <f>SUM(CC27:CC36)</f>
        <v>71373.622000000003</v>
      </c>
      <c r="CD26" s="346">
        <f>IFERROR(CC26/BZ26-1,0)</f>
        <v>-0.44630260089259766</v>
      </c>
      <c r="CE26" s="347">
        <f t="shared" si="29"/>
        <v>-0.32052753633525632</v>
      </c>
      <c r="CF26" s="616">
        <f>SUM(CF27:CF36)</f>
        <v>47097.148539000002</v>
      </c>
      <c r="CG26" s="346">
        <f t="shared" si="30"/>
        <v>-0.34013228950325658</v>
      </c>
      <c r="CH26" s="347">
        <f t="shared" si="31"/>
        <v>0.97632133868657922</v>
      </c>
      <c r="CI26" s="616">
        <f>SUM(CI27:CI36)</f>
        <v>44850.328578000001</v>
      </c>
      <c r="CJ26" s="346">
        <f t="shared" si="32"/>
        <v>-4.7706072038299019E-2</v>
      </c>
      <c r="CK26" s="347">
        <f t="shared" si="33"/>
        <v>0.44911326482140357</v>
      </c>
      <c r="CL26" s="616"/>
      <c r="CM26" s="346">
        <f t="shared" si="34"/>
        <v>-1</v>
      </c>
      <c r="CN26" s="348">
        <f t="shared" si="35"/>
        <v>-1</v>
      </c>
      <c r="CO26" s="21"/>
    </row>
    <row r="27" spans="1:93" ht="16.2" customHeight="1" x14ac:dyDescent="0.4">
      <c r="A27" s="156">
        <f t="shared" si="4"/>
        <v>26</v>
      </c>
      <c r="B27" s="32"/>
      <c r="C27" s="33" t="s">
        <v>419</v>
      </c>
      <c r="D27" s="34" t="s">
        <v>420</v>
      </c>
      <c r="E27" s="767">
        <v>1229.8182979999999</v>
      </c>
      <c r="F27" s="768">
        <v>941.60597700000005</v>
      </c>
      <c r="G27" s="768">
        <v>836.10448899999994</v>
      </c>
      <c r="H27" s="768">
        <v>849.05637200000001</v>
      </c>
      <c r="I27" s="777">
        <v>1253.663935</v>
      </c>
      <c r="J27" s="349">
        <f t="shared" si="5"/>
        <v>0.47653792650648641</v>
      </c>
      <c r="K27" s="350">
        <f t="shared" si="6"/>
        <v>1.9389561074818262E-2</v>
      </c>
      <c r="L27" s="147">
        <v>994.892383</v>
      </c>
      <c r="M27" s="349">
        <f t="shared" si="7"/>
        <v>-0.20641221684342381</v>
      </c>
      <c r="N27" s="350">
        <f t="shared" si="8"/>
        <v>5.6590981048965761E-2</v>
      </c>
      <c r="O27" s="147">
        <v>1049.041506</v>
      </c>
      <c r="P27" s="349">
        <f t="shared" si="9"/>
        <v>5.4427115862238917E-2</v>
      </c>
      <c r="Q27" s="350">
        <f t="shared" si="10"/>
        <v>0.25467751913959646</v>
      </c>
      <c r="R27" s="147">
        <v>705.81276700000001</v>
      </c>
      <c r="S27" s="349">
        <f t="shared" si="11"/>
        <v>-0.32718318296931148</v>
      </c>
      <c r="T27" s="351">
        <f t="shared" si="12"/>
        <v>-0.168709180831635</v>
      </c>
      <c r="U27" s="777">
        <v>942.07138499999996</v>
      </c>
      <c r="V27" s="349">
        <f t="shared" ref="V27" si="147">(IFERROR(U27/R27-1,0))</f>
        <v>0.33473270681146516</v>
      </c>
      <c r="W27" s="350">
        <f t="shared" si="13"/>
        <v>-0.24854551630696786</v>
      </c>
      <c r="X27" s="147">
        <v>489.10928000000001</v>
      </c>
      <c r="Y27" s="349">
        <f t="shared" ref="Y27" si="148">(IFERROR(X27/U27-1,0))</f>
        <v>-0.48081505522004575</v>
      </c>
      <c r="Z27" s="350">
        <f t="shared" si="14"/>
        <v>-0.50837971185874475</v>
      </c>
      <c r="AA27" s="147">
        <v>679.10591199999999</v>
      </c>
      <c r="AB27" s="349">
        <f t="shared" ref="AB27" si="149">(IFERROR(AA27/X27-1,0))</f>
        <v>0.38845435932027295</v>
      </c>
      <c r="AC27" s="350">
        <f t="shared" si="15"/>
        <v>-0.35264152265105897</v>
      </c>
      <c r="AD27" s="147">
        <v>840.32986200000005</v>
      </c>
      <c r="AE27" s="349">
        <f t="shared" ref="AE27" si="150">(IFERROR(AD27/AA27-1,0))</f>
        <v>0.23740619416077191</v>
      </c>
      <c r="AF27" s="351">
        <f t="shared" si="16"/>
        <v>0.19058467243622412</v>
      </c>
      <c r="AG27" s="777">
        <v>1915.8370050000001</v>
      </c>
      <c r="AH27" s="349">
        <f t="shared" ref="AH27" si="151">(IFERROR(AG27/AD27-1,0))</f>
        <v>1.2798630533494002</v>
      </c>
      <c r="AI27" s="350">
        <f t="shared" si="17"/>
        <v>1.0336431352280169</v>
      </c>
      <c r="AJ27" s="147">
        <v>1966.1580779999999</v>
      </c>
      <c r="AK27" s="349">
        <f t="shared" ref="AK27" si="152">(IFERROR(AJ27/AG27-1,0))</f>
        <v>2.6265842484862079E-2</v>
      </c>
      <c r="AL27" s="350">
        <f t="shared" si="18"/>
        <v>3.0198748181592459</v>
      </c>
      <c r="AM27" s="147">
        <v>1918.8454369999999</v>
      </c>
      <c r="AN27" s="349">
        <f t="shared" ref="AN27" si="153">(IFERROR(AM27/AJ27-1,0))</f>
        <v>-2.4063498011374085E-2</v>
      </c>
      <c r="AO27" s="350">
        <f t="shared" si="19"/>
        <v>1.8255466534651519</v>
      </c>
      <c r="AP27" s="147">
        <v>1762.6824790000001</v>
      </c>
      <c r="AQ27" s="349">
        <f t="shared" ref="AQ27" si="154">(IFERROR(AP27/AM27-1,0))</f>
        <v>-8.138381288497698E-2</v>
      </c>
      <c r="AR27" s="351">
        <f t="shared" si="20"/>
        <v>1.097607807016145</v>
      </c>
      <c r="AS27" s="777">
        <v>3727.2651599999999</v>
      </c>
      <c r="AT27" s="349">
        <f t="shared" ref="AT27" si="155">(IFERROR(AS27/AP27-1,0))</f>
        <v>1.114541447143981</v>
      </c>
      <c r="AU27" s="350">
        <f t="shared" si="137"/>
        <v>0.94550222710621457</v>
      </c>
      <c r="AV27" s="147">
        <v>2441.8786580000001</v>
      </c>
      <c r="AW27" s="349">
        <f t="shared" ref="AW27" si="156">(IFERROR(AV27/AS27-1,0))</f>
        <v>-0.34486049337042601</v>
      </c>
      <c r="AX27" s="350">
        <f t="shared" si="139"/>
        <v>0.24195439081068648</v>
      </c>
      <c r="AY27" s="147">
        <v>3341.5634479999999</v>
      </c>
      <c r="AZ27" s="349">
        <f t="shared" ref="AZ27" si="157">(IFERROR(AY27/AV27-1,0))</f>
        <v>0.36843959754203315</v>
      </c>
      <c r="BA27" s="350">
        <f t="shared" si="141"/>
        <v>0.74144482070652562</v>
      </c>
      <c r="BB27" s="147">
        <v>2124.969047</v>
      </c>
      <c r="BC27" s="349">
        <f t="shared" ref="BC27" si="158">(IFERROR(BB27/AY27-1,0))</f>
        <v>-0.36407939574756798</v>
      </c>
      <c r="BD27" s="351">
        <f t="shared" si="143"/>
        <v>0.20553138317091091</v>
      </c>
      <c r="BE27" s="617">
        <v>4731.2892769999999</v>
      </c>
      <c r="BF27" s="349">
        <f>(IFERROR(BE27/BB27-1,0))</f>
        <v>1.2265215033035726</v>
      </c>
      <c r="BG27" s="350">
        <f t="shared" si="0"/>
        <v>0.26937287096579943</v>
      </c>
      <c r="BH27" s="618">
        <v>3898.8697830000001</v>
      </c>
      <c r="BI27" s="349">
        <f t="shared" ref="BI27" si="159">(IFERROR(BH27/BE27-1,0))</f>
        <v>-0.17593925149464074</v>
      </c>
      <c r="BJ27" s="350">
        <f t="shared" si="1"/>
        <v>0.59666811052492519</v>
      </c>
      <c r="BK27" s="618">
        <v>5110.6777039999997</v>
      </c>
      <c r="BL27" s="349">
        <f t="shared" ref="BL27" si="160">(IFERROR(BK27/BH27-1,0))</f>
        <v>0.31081005225764935</v>
      </c>
      <c r="BM27" s="350">
        <f t="shared" si="2"/>
        <v>0.52942710307022733</v>
      </c>
      <c r="BN27" s="618">
        <v>2374.5903090000002</v>
      </c>
      <c r="BO27" s="349">
        <f t="shared" ref="BO27" si="161">(IFERROR(BN27/BK27-1,0))</f>
        <v>-0.5353668443734052</v>
      </c>
      <c r="BP27" s="351">
        <f t="shared" si="3"/>
        <v>0.1174705402661802</v>
      </c>
      <c r="BQ27" s="617">
        <v>4869.3168329999999</v>
      </c>
      <c r="BR27" s="349">
        <f t="shared" ref="BR27" si="162">(IFERROR(BQ27/BN27-1,0))</f>
        <v>1.0505923967366781</v>
      </c>
      <c r="BS27" s="350">
        <f t="shared" si="25"/>
        <v>2.917334957111728E-2</v>
      </c>
      <c r="BT27" s="618">
        <v>6592.5202999999992</v>
      </c>
      <c r="BU27" s="349">
        <f t="shared" ref="BU27" si="163">(IFERROR(BT27/BQ27-1,0))</f>
        <v>0.3538901916017505</v>
      </c>
      <c r="BV27" s="350">
        <f t="shared" si="26"/>
        <v>0.69087983618867099</v>
      </c>
      <c r="BW27" s="618">
        <v>6891.7934020000002</v>
      </c>
      <c r="BX27" s="349">
        <f t="shared" ref="BX27" si="164">(IFERROR(BW27/BT27-1,0))</f>
        <v>4.5395855967254484E-2</v>
      </c>
      <c r="BY27" s="350">
        <f t="shared" si="27"/>
        <v>0.34850871081265122</v>
      </c>
      <c r="BZ27" s="618">
        <v>3920.684557</v>
      </c>
      <c r="CA27" s="349">
        <f t="shared" ref="CA27:CA36" si="165">(IFERROR(BZ27/BW27-1,0))</f>
        <v>-0.4311082285400174</v>
      </c>
      <c r="CB27" s="351">
        <f t="shared" si="28"/>
        <v>0.65109936738986329</v>
      </c>
      <c r="CC27" s="617">
        <v>4044.3710000000001</v>
      </c>
      <c r="CD27" s="349">
        <f t="shared" ref="CD27:CD32" si="166">(IFERROR(CC27/BZ27-1,0))</f>
        <v>3.1547154891400364E-2</v>
      </c>
      <c r="CE27" s="350">
        <f t="shared" si="29"/>
        <v>-0.16941716082412905</v>
      </c>
      <c r="CF27" s="618">
        <v>4994.6525030000003</v>
      </c>
      <c r="CG27" s="349">
        <f t="shared" si="30"/>
        <v>0.2349639790711584</v>
      </c>
      <c r="CH27" s="350">
        <f t="shared" si="31"/>
        <v>1.0454138810856506</v>
      </c>
      <c r="CI27" s="618">
        <v>4750.3910749999995</v>
      </c>
      <c r="CJ27" s="349">
        <f t="shared" si="32"/>
        <v>-4.8904589028623491E-2</v>
      </c>
      <c r="CK27" s="350">
        <f t="shared" si="33"/>
        <v>0.42160732511100885</v>
      </c>
      <c r="CL27" s="618"/>
      <c r="CM27" s="349">
        <f t="shared" si="34"/>
        <v>-1</v>
      </c>
      <c r="CN27" s="351">
        <f t="shared" si="35"/>
        <v>-1</v>
      </c>
    </row>
    <row r="28" spans="1:93" ht="16.2" customHeight="1" x14ac:dyDescent="0.4">
      <c r="A28" s="156">
        <f t="shared" si="4"/>
        <v>27</v>
      </c>
      <c r="B28" s="32"/>
      <c r="C28" s="33" t="s">
        <v>418</v>
      </c>
      <c r="D28" s="34" t="s">
        <v>464</v>
      </c>
      <c r="E28" s="827"/>
      <c r="F28" s="828"/>
      <c r="G28" s="828"/>
      <c r="H28" s="828"/>
      <c r="I28" s="829"/>
      <c r="J28" s="830"/>
      <c r="K28" s="831"/>
      <c r="L28" s="832"/>
      <c r="M28" s="830"/>
      <c r="N28" s="831"/>
      <c r="O28" s="832"/>
      <c r="P28" s="830"/>
      <c r="Q28" s="831"/>
      <c r="R28" s="832"/>
      <c r="S28" s="830"/>
      <c r="T28" s="833"/>
      <c r="U28" s="829"/>
      <c r="V28" s="830"/>
      <c r="W28" s="831"/>
      <c r="X28" s="832"/>
      <c r="Y28" s="830"/>
      <c r="Z28" s="831"/>
      <c r="AA28" s="832"/>
      <c r="AB28" s="830"/>
      <c r="AC28" s="831"/>
      <c r="AD28" s="832"/>
      <c r="AE28" s="830"/>
      <c r="AF28" s="833"/>
      <c r="AG28" s="829"/>
      <c r="AH28" s="830"/>
      <c r="AI28" s="831"/>
      <c r="AJ28" s="832"/>
      <c r="AK28" s="830"/>
      <c r="AL28" s="831"/>
      <c r="AM28" s="832"/>
      <c r="AN28" s="830"/>
      <c r="AO28" s="831"/>
      <c r="AP28" s="832"/>
      <c r="AQ28" s="830"/>
      <c r="AR28" s="833"/>
      <c r="AS28" s="829"/>
      <c r="AT28" s="830"/>
      <c r="AU28" s="831"/>
      <c r="AV28" s="832"/>
      <c r="AW28" s="830"/>
      <c r="AX28" s="831"/>
      <c r="AY28" s="832"/>
      <c r="AZ28" s="830"/>
      <c r="BA28" s="831"/>
      <c r="BB28" s="832"/>
      <c r="BC28" s="830"/>
      <c r="BD28" s="833"/>
      <c r="BE28" s="834"/>
      <c r="BF28" s="830"/>
      <c r="BG28" s="831"/>
      <c r="BH28" s="835"/>
      <c r="BI28" s="830"/>
      <c r="BJ28" s="831"/>
      <c r="BK28" s="835"/>
      <c r="BL28" s="830"/>
      <c r="BM28" s="831"/>
      <c r="BN28" s="835"/>
      <c r="BO28" s="830"/>
      <c r="BP28" s="833"/>
      <c r="BQ28" s="834"/>
      <c r="BR28" s="830"/>
      <c r="BS28" s="831"/>
      <c r="BT28" s="835"/>
      <c r="BU28" s="830"/>
      <c r="BV28" s="831"/>
      <c r="BW28" s="835"/>
      <c r="BX28" s="830"/>
      <c r="BY28" s="831"/>
      <c r="BZ28" s="618">
        <v>20700.788656000001</v>
      </c>
      <c r="CA28" s="349">
        <f t="shared" si="165"/>
        <v>0</v>
      </c>
      <c r="CB28" s="351">
        <f t="shared" si="28"/>
        <v>0</v>
      </c>
      <c r="CC28" s="617">
        <v>26550.251</v>
      </c>
      <c r="CD28" s="349">
        <f t="shared" si="166"/>
        <v>0.28257195613194996</v>
      </c>
      <c r="CE28" s="350">
        <f t="shared" si="29"/>
        <v>0</v>
      </c>
      <c r="CF28" s="618">
        <v>9778.3331240000007</v>
      </c>
      <c r="CG28" s="349">
        <f t="shared" si="30"/>
        <v>-0.63170468241524347</v>
      </c>
      <c r="CH28" s="350">
        <f t="shared" si="31"/>
        <v>0</v>
      </c>
      <c r="CI28" s="618">
        <v>11034.160042</v>
      </c>
      <c r="CJ28" s="349">
        <f t="shared" si="32"/>
        <v>0.12842954950242902</v>
      </c>
      <c r="CK28" s="350">
        <f t="shared" si="33"/>
        <v>0</v>
      </c>
      <c r="CL28" s="618"/>
      <c r="CM28" s="349"/>
      <c r="CN28" s="351">
        <f t="shared" si="35"/>
        <v>0</v>
      </c>
    </row>
    <row r="29" spans="1:93" ht="13.2" x14ac:dyDescent="0.4">
      <c r="A29" s="156">
        <f t="shared" si="4"/>
        <v>28</v>
      </c>
      <c r="B29" s="32"/>
      <c r="C29" s="33" t="s">
        <v>144</v>
      </c>
      <c r="D29" s="147" t="s">
        <v>274</v>
      </c>
      <c r="E29" s="767">
        <v>7400</v>
      </c>
      <c r="F29" s="768">
        <v>7400</v>
      </c>
      <c r="G29" s="768">
        <v>2600</v>
      </c>
      <c r="H29" s="768">
        <v>5841.3627999999999</v>
      </c>
      <c r="I29" s="777">
        <v>5841.3627999999999</v>
      </c>
      <c r="J29" s="349">
        <f t="shared" si="5"/>
        <v>0</v>
      </c>
      <c r="K29" s="350">
        <f t="shared" si="6"/>
        <v>-0.21062664864864866</v>
      </c>
      <c r="L29" s="147">
        <v>2600</v>
      </c>
      <c r="M29" s="349">
        <f t="shared" si="7"/>
        <v>-0.55489838775294009</v>
      </c>
      <c r="N29" s="350">
        <f t="shared" si="8"/>
        <v>-0.64864864864864868</v>
      </c>
      <c r="O29" s="147">
        <v>10200</v>
      </c>
      <c r="P29" s="349">
        <f t="shared" si="9"/>
        <v>2.9230769230769229</v>
      </c>
      <c r="Q29" s="350">
        <f t="shared" si="10"/>
        <v>2.9230769230769229</v>
      </c>
      <c r="R29" s="147">
        <v>9600</v>
      </c>
      <c r="S29" s="349">
        <f t="shared" si="11"/>
        <v>-5.8823529411764719E-2</v>
      </c>
      <c r="T29" s="351">
        <f t="shared" si="12"/>
        <v>0.64345210675837494</v>
      </c>
      <c r="U29" s="777">
        <v>9000</v>
      </c>
      <c r="V29" s="349">
        <f t="shared" ref="V29:V35" si="167">(IFERROR(U29/R29-1,0))</f>
        <v>-6.25E-2</v>
      </c>
      <c r="W29" s="350">
        <f t="shared" si="13"/>
        <v>0.54073635008597654</v>
      </c>
      <c r="X29" s="147">
        <v>8400</v>
      </c>
      <c r="Y29" s="349">
        <f t="shared" ref="Y29:Y35" si="168">(IFERROR(X29/U29-1,0))</f>
        <v>-6.6666666666666652E-2</v>
      </c>
      <c r="Z29" s="350">
        <f t="shared" si="14"/>
        <v>2.2307692307692308</v>
      </c>
      <c r="AA29" s="147">
        <v>0</v>
      </c>
      <c r="AB29" s="349">
        <f t="shared" ref="AB29:AB35" si="169">(IFERROR(AA29/X29-1,0))</f>
        <v>-1</v>
      </c>
      <c r="AC29" s="350">
        <f t="shared" si="15"/>
        <v>-1</v>
      </c>
      <c r="AD29" s="147">
        <v>0</v>
      </c>
      <c r="AE29" s="349">
        <f t="shared" ref="AE29:AE35" si="170">(IFERROR(AD29/AA29-1,0))</f>
        <v>0</v>
      </c>
      <c r="AF29" s="351">
        <f t="shared" si="16"/>
        <v>-1</v>
      </c>
      <c r="AG29" s="777">
        <v>0</v>
      </c>
      <c r="AH29" s="349">
        <f t="shared" ref="AH29:AH35" si="171">(IFERROR(AG29/AD29-1,0))</f>
        <v>0</v>
      </c>
      <c r="AI29" s="350">
        <f t="shared" si="17"/>
        <v>-1</v>
      </c>
      <c r="AJ29" s="147">
        <v>0</v>
      </c>
      <c r="AK29" s="349">
        <f t="shared" ref="AK29:AK35" si="172">(IFERROR(AJ29/AG29-1,0))</f>
        <v>0</v>
      </c>
      <c r="AL29" s="350">
        <f t="shared" si="18"/>
        <v>-1</v>
      </c>
      <c r="AM29" s="147">
        <v>0</v>
      </c>
      <c r="AN29" s="349">
        <f t="shared" ref="AN29:AN35" si="173">(IFERROR(AM29/AJ29-1,0))</f>
        <v>0</v>
      </c>
      <c r="AO29" s="350">
        <f t="shared" si="19"/>
        <v>0</v>
      </c>
      <c r="AP29" s="147">
        <v>0</v>
      </c>
      <c r="AQ29" s="349">
        <f t="shared" ref="AQ29:AQ35" si="174">(IFERROR(AP29/AM29-1,0))</f>
        <v>0</v>
      </c>
      <c r="AR29" s="351">
        <f t="shared" si="20"/>
        <v>0</v>
      </c>
      <c r="AS29" s="777">
        <v>2400</v>
      </c>
      <c r="AT29" s="349">
        <f t="shared" ref="AT29:AT32" si="175">(IFERROR(AS29/AP29-1,0))</f>
        <v>0</v>
      </c>
      <c r="AU29" s="350">
        <f t="shared" si="137"/>
        <v>0</v>
      </c>
      <c r="AV29" s="147">
        <v>2400</v>
      </c>
      <c r="AW29" s="349">
        <f t="shared" ref="AW29:AW32" si="176">(IFERROR(AV29/AS29-1,0))</f>
        <v>0</v>
      </c>
      <c r="AX29" s="350">
        <f t="shared" si="139"/>
        <v>0</v>
      </c>
      <c r="AY29" s="147">
        <v>2400</v>
      </c>
      <c r="AZ29" s="349">
        <f t="shared" ref="AZ29:AZ32" si="177">(IFERROR(AY29/AV29-1,0))</f>
        <v>0</v>
      </c>
      <c r="BA29" s="350">
        <f t="shared" si="141"/>
        <v>0</v>
      </c>
      <c r="BB29" s="147">
        <v>2400</v>
      </c>
      <c r="BC29" s="349">
        <f t="shared" ref="BC29:BC32" si="178">(IFERROR(BB29/AY29-1,0))</f>
        <v>0</v>
      </c>
      <c r="BD29" s="351">
        <f t="shared" si="143"/>
        <v>0</v>
      </c>
      <c r="BE29" s="617">
        <v>2400</v>
      </c>
      <c r="BF29" s="349">
        <f>(IFERROR(BE29/BB29-1,0))</f>
        <v>0</v>
      </c>
      <c r="BG29" s="350">
        <f t="shared" si="0"/>
        <v>0</v>
      </c>
      <c r="BH29" s="618">
        <v>2400</v>
      </c>
      <c r="BI29" s="349">
        <f t="shared" ref="BI29:BI35" si="179">(IFERROR(BH29/BE29-1,0))</f>
        <v>0</v>
      </c>
      <c r="BJ29" s="350">
        <f t="shared" si="1"/>
        <v>0</v>
      </c>
      <c r="BK29" s="618">
        <v>2600</v>
      </c>
      <c r="BL29" s="349">
        <f t="shared" ref="BL29:BL35" si="180">(IFERROR(BK29/BH29-1,0))</f>
        <v>8.3333333333333259E-2</v>
      </c>
      <c r="BM29" s="350">
        <f t="shared" si="2"/>
        <v>8.3333333333333259E-2</v>
      </c>
      <c r="BN29" s="618">
        <v>2400</v>
      </c>
      <c r="BO29" s="349">
        <f t="shared" ref="BO29:BO35" si="181">(IFERROR(BN29/BK29-1,0))</f>
        <v>-7.6923076923076872E-2</v>
      </c>
      <c r="BP29" s="351">
        <f t="shared" si="3"/>
        <v>0</v>
      </c>
      <c r="BQ29" s="617">
        <v>63800</v>
      </c>
      <c r="BR29" s="349">
        <f t="shared" ref="BR29:BR36" si="182">(IFERROR(BQ29/BN29-1,0))</f>
        <v>25.583333333333332</v>
      </c>
      <c r="BS29" s="350">
        <f t="shared" si="25"/>
        <v>25.583333333333332</v>
      </c>
      <c r="BT29" s="618">
        <v>63200</v>
      </c>
      <c r="BU29" s="349">
        <f t="shared" ref="BU29:BU36" si="183">(IFERROR(BT29/BQ29-1,0))</f>
        <v>-9.4043887147335914E-3</v>
      </c>
      <c r="BV29" s="350">
        <f t="shared" si="26"/>
        <v>25.333333333333332</v>
      </c>
      <c r="BW29" s="618">
        <v>62600</v>
      </c>
      <c r="BX29" s="349">
        <f t="shared" ref="BX29:BX36" si="184">(IFERROR(BW29/BT29-1,0))</f>
        <v>-9.493670886076E-3</v>
      </c>
      <c r="BY29" s="350">
        <f t="shared" si="27"/>
        <v>23.076923076923077</v>
      </c>
      <c r="BZ29" s="618">
        <v>76716.824622999993</v>
      </c>
      <c r="CA29" s="349">
        <f t="shared" si="165"/>
        <v>0.22550838055910538</v>
      </c>
      <c r="CB29" s="351">
        <f t="shared" si="28"/>
        <v>30.965343592916664</v>
      </c>
      <c r="CC29" s="617">
        <v>11027</v>
      </c>
      <c r="CD29" s="349">
        <f t="shared" si="166"/>
        <v>-0.8562636024863044</v>
      </c>
      <c r="CE29" s="350">
        <f t="shared" si="29"/>
        <v>-0.82716300940438869</v>
      </c>
      <c r="CF29" s="618">
        <v>863.38800000000003</v>
      </c>
      <c r="CG29" s="349">
        <f t="shared" si="30"/>
        <v>-0.92170236691756602</v>
      </c>
      <c r="CH29" s="350">
        <f t="shared" si="31"/>
        <v>-0.64025500000000002</v>
      </c>
      <c r="CI29" s="618">
        <v>866.23800000000006</v>
      </c>
      <c r="CJ29" s="349">
        <f t="shared" si="32"/>
        <v>3.3009492835203158E-3</v>
      </c>
      <c r="CK29" s="350">
        <f t="shared" si="33"/>
        <v>-0.6390674999999999</v>
      </c>
      <c r="CL29" s="618"/>
      <c r="CM29" s="349">
        <f t="shared" si="34"/>
        <v>-1</v>
      </c>
      <c r="CN29" s="351">
        <f t="shared" si="35"/>
        <v>-1</v>
      </c>
    </row>
    <row r="30" spans="1:93" ht="16.2" customHeight="1" x14ac:dyDescent="0.4">
      <c r="A30" s="156">
        <f t="shared" si="4"/>
        <v>29</v>
      </c>
      <c r="B30" s="32"/>
      <c r="C30" s="33" t="s">
        <v>145</v>
      </c>
      <c r="D30" s="34" t="s">
        <v>221</v>
      </c>
      <c r="E30" s="767">
        <v>1394.1501450000001</v>
      </c>
      <c r="F30" s="768">
        <v>1054.9774379999999</v>
      </c>
      <c r="G30" s="768">
        <v>1791.8485579999999</v>
      </c>
      <c r="H30" s="768">
        <v>1869.8462099999999</v>
      </c>
      <c r="I30" s="777">
        <v>2704.3870310000002</v>
      </c>
      <c r="J30" s="349">
        <f t="shared" si="5"/>
        <v>0.44631521915377226</v>
      </c>
      <c r="K30" s="350">
        <f t="shared" si="6"/>
        <v>0.93981045778968086</v>
      </c>
      <c r="L30" s="147">
        <v>3599.0121779999999</v>
      </c>
      <c r="M30" s="349">
        <f t="shared" si="7"/>
        <v>0.33080514613664391</v>
      </c>
      <c r="N30" s="350">
        <f t="shared" si="8"/>
        <v>2.4114589074273645</v>
      </c>
      <c r="O30" s="147">
        <v>5715.8101969999998</v>
      </c>
      <c r="P30" s="349">
        <f t="shared" si="9"/>
        <v>0.58816083811539688</v>
      </c>
      <c r="Q30" s="350">
        <f t="shared" si="10"/>
        <v>2.1898958042412868</v>
      </c>
      <c r="R30" s="147">
        <v>7265.4351360000001</v>
      </c>
      <c r="S30" s="349">
        <f t="shared" si="11"/>
        <v>0.2711120358428516</v>
      </c>
      <c r="T30" s="351">
        <f t="shared" si="12"/>
        <v>2.8855789835250678</v>
      </c>
      <c r="U30" s="777">
        <v>7308.7326359999997</v>
      </c>
      <c r="V30" s="349">
        <f t="shared" si="167"/>
        <v>5.9593815359333391E-3</v>
      </c>
      <c r="W30" s="350">
        <f t="shared" si="13"/>
        <v>1.7025468441539791</v>
      </c>
      <c r="X30" s="147">
        <v>4804.9350219999997</v>
      </c>
      <c r="Y30" s="349">
        <f t="shared" si="168"/>
        <v>-0.34257616726424744</v>
      </c>
      <c r="Z30" s="350">
        <f t="shared" si="14"/>
        <v>0.33507050945021821</v>
      </c>
      <c r="AA30" s="147">
        <v>5560.2833099999998</v>
      </c>
      <c r="AB30" s="349">
        <f t="shared" si="169"/>
        <v>0.15720260202095204</v>
      </c>
      <c r="AC30" s="350">
        <f t="shared" si="15"/>
        <v>-2.7209946033832533E-2</v>
      </c>
      <c r="AD30" s="147">
        <v>4396.4878559999997</v>
      </c>
      <c r="AE30" s="349">
        <f t="shared" si="170"/>
        <v>-0.20930506398962612</v>
      </c>
      <c r="AF30" s="351">
        <f t="shared" si="16"/>
        <v>-0.39487618102657851</v>
      </c>
      <c r="AG30" s="777">
        <v>5354.798616</v>
      </c>
      <c r="AH30" s="349">
        <f t="shared" si="171"/>
        <v>0.21797188833176673</v>
      </c>
      <c r="AI30" s="350">
        <f t="shared" si="17"/>
        <v>-0.26734238578870351</v>
      </c>
      <c r="AJ30" s="147">
        <v>6401.9854539999997</v>
      </c>
      <c r="AK30" s="349">
        <f t="shared" si="172"/>
        <v>0.19556045205342221</v>
      </c>
      <c r="AL30" s="350">
        <f t="shared" si="18"/>
        <v>0.33237711325703745</v>
      </c>
      <c r="AM30" s="147">
        <v>7812.6299799999997</v>
      </c>
      <c r="AN30" s="349">
        <f t="shared" si="173"/>
        <v>0.22034485022433481</v>
      </c>
      <c r="AO30" s="350">
        <f t="shared" si="19"/>
        <v>0.40507768119462972</v>
      </c>
      <c r="AP30" s="147">
        <v>5965.6538119999996</v>
      </c>
      <c r="AQ30" s="349">
        <f t="shared" si="174"/>
        <v>-0.23640901626317645</v>
      </c>
      <c r="AR30" s="351">
        <f t="shared" si="20"/>
        <v>0.35691351992671128</v>
      </c>
      <c r="AS30" s="777">
        <v>7204.8422849999997</v>
      </c>
      <c r="AT30" s="349">
        <f t="shared" si="175"/>
        <v>0.20772047994259313</v>
      </c>
      <c r="AU30" s="350">
        <f t="shared" si="137"/>
        <v>0.34549266959771696</v>
      </c>
      <c r="AV30" s="147">
        <v>7508.609539</v>
      </c>
      <c r="AW30" s="349">
        <f t="shared" si="176"/>
        <v>4.2161541083615806E-2</v>
      </c>
      <c r="AX30" s="350">
        <f t="shared" si="139"/>
        <v>0.17285638852999496</v>
      </c>
      <c r="AY30" s="147">
        <v>6609.5542150000001</v>
      </c>
      <c r="AZ30" s="349">
        <f t="shared" si="177"/>
        <v>-0.11973659295110139</v>
      </c>
      <c r="BA30" s="350">
        <f t="shared" si="141"/>
        <v>-0.15399113590171587</v>
      </c>
      <c r="BB30" s="147">
        <v>18158.545451999998</v>
      </c>
      <c r="BC30" s="349">
        <f t="shared" si="178"/>
        <v>1.7473177254209116</v>
      </c>
      <c r="BD30" s="351">
        <f t="shared" si="143"/>
        <v>2.043848339887544</v>
      </c>
      <c r="BE30" s="617">
        <v>22372.973306</v>
      </c>
      <c r="BF30" s="349">
        <f>(IFERROR(BE30/BB30-1,0))</f>
        <v>0.23209060798070813</v>
      </c>
      <c r="BG30" s="350">
        <f t="shared" si="0"/>
        <v>2.1052689873002546</v>
      </c>
      <c r="BH30" s="618">
        <v>17544.982521999998</v>
      </c>
      <c r="BI30" s="349">
        <f t="shared" si="179"/>
        <v>-0.21579567087335805</v>
      </c>
      <c r="BJ30" s="350">
        <f t="shared" si="1"/>
        <v>1.3366486738817223</v>
      </c>
      <c r="BK30" s="618">
        <v>7499.4958450000004</v>
      </c>
      <c r="BL30" s="349">
        <f t="shared" si="180"/>
        <v>-0.57255609484955405</v>
      </c>
      <c r="BM30" s="350">
        <f t="shared" si="2"/>
        <v>0.13464472807868488</v>
      </c>
      <c r="BN30" s="618">
        <v>10482.475130999999</v>
      </c>
      <c r="BO30" s="349">
        <f t="shared" si="181"/>
        <v>0.39775730897814765</v>
      </c>
      <c r="BP30" s="351">
        <f t="shared" si="3"/>
        <v>-0.42272495565742296</v>
      </c>
      <c r="BQ30" s="617">
        <v>11927.342054000001</v>
      </c>
      <c r="BR30" s="349">
        <f t="shared" si="182"/>
        <v>0.13783642746044511</v>
      </c>
      <c r="BS30" s="350">
        <f t="shared" si="25"/>
        <v>-0.46688614468594936</v>
      </c>
      <c r="BT30" s="618">
        <v>12515.591676</v>
      </c>
      <c r="BU30" s="349">
        <f t="shared" si="183"/>
        <v>4.9319422494697562E-2</v>
      </c>
      <c r="BV30" s="350">
        <f t="shared" si="26"/>
        <v>-0.28665693110229928</v>
      </c>
      <c r="BW30" s="618">
        <v>9333.4811709999994</v>
      </c>
      <c r="BX30" s="349">
        <f t="shared" si="184"/>
        <v>-0.25425170358522009</v>
      </c>
      <c r="BY30" s="350">
        <f t="shared" si="27"/>
        <v>0.2445478154671874</v>
      </c>
      <c r="BZ30" s="618">
        <v>17398.947957</v>
      </c>
      <c r="CA30" s="349">
        <f t="shared" si="165"/>
        <v>0.86414346782636287</v>
      </c>
      <c r="CB30" s="351">
        <f t="shared" si="28"/>
        <v>0.65981294871340079</v>
      </c>
      <c r="CC30" s="617">
        <v>19637</v>
      </c>
      <c r="CD30" s="349">
        <f t="shared" si="166"/>
        <v>0.12863145797844511</v>
      </c>
      <c r="CE30" s="350">
        <f t="shared" si="29"/>
        <v>0.64638524753421134</v>
      </c>
      <c r="CF30" s="618">
        <v>20519.632067999999</v>
      </c>
      <c r="CG30" s="349">
        <f t="shared" si="30"/>
        <v>4.4947398686153717E-2</v>
      </c>
      <c r="CH30" s="350">
        <f t="shared" si="31"/>
        <v>1.7328138400885358</v>
      </c>
      <c r="CI30" s="618">
        <v>18136.723892000002</v>
      </c>
      <c r="CJ30" s="349">
        <f t="shared" si="32"/>
        <v>-0.11612821166107068</v>
      </c>
      <c r="CK30" s="350">
        <f t="shared" si="33"/>
        <v>1.7440162077557</v>
      </c>
      <c r="CL30" s="618"/>
      <c r="CM30" s="349">
        <f t="shared" si="34"/>
        <v>-1</v>
      </c>
      <c r="CN30" s="351">
        <f t="shared" si="35"/>
        <v>-1</v>
      </c>
    </row>
    <row r="31" spans="1:93" ht="16.2" customHeight="1" x14ac:dyDescent="0.4">
      <c r="A31" s="156">
        <f t="shared" si="4"/>
        <v>30</v>
      </c>
      <c r="B31" s="32"/>
      <c r="C31" s="33" t="s">
        <v>146</v>
      </c>
      <c r="D31" s="34" t="s">
        <v>222</v>
      </c>
      <c r="E31" s="767">
        <v>794.50230799999997</v>
      </c>
      <c r="F31" s="768">
        <v>355.93366500000002</v>
      </c>
      <c r="G31" s="768">
        <v>396.743942</v>
      </c>
      <c r="H31" s="768">
        <v>612.73799699999995</v>
      </c>
      <c r="I31" s="777">
        <v>1435.978597</v>
      </c>
      <c r="J31" s="349">
        <f t="shared" si="5"/>
        <v>1.3435442293943463</v>
      </c>
      <c r="K31" s="350">
        <f t="shared" si="6"/>
        <v>0.8073938647387795</v>
      </c>
      <c r="L31" s="147">
        <v>655.32862899999998</v>
      </c>
      <c r="M31" s="349">
        <f t="shared" si="7"/>
        <v>-0.54363621409880947</v>
      </c>
      <c r="N31" s="350">
        <f t="shared" si="8"/>
        <v>0.84115382567142105</v>
      </c>
      <c r="O31" s="147">
        <v>706.213662</v>
      </c>
      <c r="P31" s="349">
        <f t="shared" si="9"/>
        <v>7.7648115385479333E-2</v>
      </c>
      <c r="Q31" s="350">
        <f t="shared" si="10"/>
        <v>0.78002380689154927</v>
      </c>
      <c r="R31" s="147">
        <v>801.48676</v>
      </c>
      <c r="S31" s="349">
        <f t="shared" si="11"/>
        <v>0.13490690300466035</v>
      </c>
      <c r="T31" s="351">
        <f t="shared" si="12"/>
        <v>0.3080415510774992</v>
      </c>
      <c r="U31" s="777">
        <v>3552.3011649999999</v>
      </c>
      <c r="V31" s="349">
        <f t="shared" si="167"/>
        <v>3.4321395465097888</v>
      </c>
      <c r="W31" s="350">
        <f t="shared" si="13"/>
        <v>1.4737842001415289</v>
      </c>
      <c r="X31" s="147">
        <v>740.80989499999998</v>
      </c>
      <c r="Y31" s="349">
        <f t="shared" si="168"/>
        <v>-0.79145633757097278</v>
      </c>
      <c r="Z31" s="350">
        <f t="shared" si="14"/>
        <v>0.13044030463073208</v>
      </c>
      <c r="AA31" s="147">
        <v>748.44473800000003</v>
      </c>
      <c r="AB31" s="349">
        <f t="shared" si="169"/>
        <v>1.0306075892790423E-2</v>
      </c>
      <c r="AC31" s="350">
        <f t="shared" si="15"/>
        <v>5.9799290600526467E-2</v>
      </c>
      <c r="AD31" s="147">
        <v>580.43126700000005</v>
      </c>
      <c r="AE31" s="349">
        <f t="shared" si="170"/>
        <v>-0.224483468811561</v>
      </c>
      <c r="AF31" s="351">
        <f t="shared" si="16"/>
        <v>-0.27580679311533474</v>
      </c>
      <c r="AG31" s="777">
        <v>5281.5643069999996</v>
      </c>
      <c r="AH31" s="349">
        <f t="shared" si="171"/>
        <v>8.0993793878440385</v>
      </c>
      <c r="AI31" s="350">
        <f t="shared" si="17"/>
        <v>0.48680082619064757</v>
      </c>
      <c r="AJ31" s="147">
        <v>2502.0994300000002</v>
      </c>
      <c r="AK31" s="349">
        <f t="shared" si="172"/>
        <v>-0.52625788789813543</v>
      </c>
      <c r="AL31" s="350">
        <f t="shared" si="18"/>
        <v>2.3775189112451045</v>
      </c>
      <c r="AM31" s="147">
        <v>3388.427169</v>
      </c>
      <c r="AN31" s="349">
        <f t="shared" si="173"/>
        <v>0.35423362012436077</v>
      </c>
      <c r="AO31" s="350">
        <f t="shared" si="19"/>
        <v>3.5272910569918388</v>
      </c>
      <c r="AP31" s="147">
        <v>980.20801500000005</v>
      </c>
      <c r="AQ31" s="349">
        <f t="shared" si="174"/>
        <v>-0.71071887748755092</v>
      </c>
      <c r="AR31" s="351">
        <f t="shared" si="20"/>
        <v>0.68875811957249367</v>
      </c>
      <c r="AS31" s="777">
        <v>7234.0008200000002</v>
      </c>
      <c r="AT31" s="349">
        <f t="shared" si="175"/>
        <v>6.3800669952693658</v>
      </c>
      <c r="AU31" s="350">
        <f t="shared" si="137"/>
        <v>0.36967012034906199</v>
      </c>
      <c r="AV31" s="147">
        <v>3422.0593669999998</v>
      </c>
      <c r="AW31" s="349">
        <f t="shared" si="176"/>
        <v>-0.52694788787707103</v>
      </c>
      <c r="AX31" s="350">
        <f t="shared" si="139"/>
        <v>0.36767521145232807</v>
      </c>
      <c r="AY31" s="147">
        <v>4351.4222090000003</v>
      </c>
      <c r="AZ31" s="349">
        <f t="shared" si="177"/>
        <v>0.27157998805109584</v>
      </c>
      <c r="BA31" s="350">
        <f t="shared" si="141"/>
        <v>0.28420119187162629</v>
      </c>
      <c r="BB31" s="147">
        <v>5465.274676</v>
      </c>
      <c r="BC31" s="349">
        <f t="shared" si="178"/>
        <v>0.25597434896026194</v>
      </c>
      <c r="BD31" s="351">
        <f t="shared" si="143"/>
        <v>4.5756274100656071</v>
      </c>
      <c r="BE31" s="617">
        <v>10348.39472</v>
      </c>
      <c r="BF31" s="349">
        <f>(IFERROR(BE31/BB31-1,0))</f>
        <v>0.89348117587640163</v>
      </c>
      <c r="BG31" s="350">
        <f t="shared" si="0"/>
        <v>0.4305216404440495</v>
      </c>
      <c r="BH31" s="618">
        <v>4345.2906039999998</v>
      </c>
      <c r="BI31" s="349">
        <f t="shared" si="179"/>
        <v>-0.58010003275174649</v>
      </c>
      <c r="BJ31" s="350">
        <f t="shared" si="1"/>
        <v>0.26978820002452641</v>
      </c>
      <c r="BK31" s="618">
        <v>5651.7439119999999</v>
      </c>
      <c r="BL31" s="349">
        <f t="shared" si="180"/>
        <v>0.30065959381344065</v>
      </c>
      <c r="BM31" s="350">
        <f t="shared" si="2"/>
        <v>0.2988268296076988</v>
      </c>
      <c r="BN31" s="618">
        <v>6794.9653099999996</v>
      </c>
      <c r="BO31" s="349">
        <f t="shared" si="181"/>
        <v>0.20227763603596194</v>
      </c>
      <c r="BP31" s="351">
        <f t="shared" si="3"/>
        <v>0.24329804315950532</v>
      </c>
      <c r="BQ31" s="617">
        <v>16438.418118000001</v>
      </c>
      <c r="BR31" s="349">
        <f t="shared" si="182"/>
        <v>1.4192055982696403</v>
      </c>
      <c r="BS31" s="350">
        <f t="shared" si="25"/>
        <v>0.58849933374014185</v>
      </c>
      <c r="BT31" s="618">
        <v>4787.5869009999997</v>
      </c>
      <c r="BU31" s="349">
        <f t="shared" si="183"/>
        <v>-0.70875622784180115</v>
      </c>
      <c r="BV31" s="350">
        <f t="shared" si="26"/>
        <v>0.101787506822409</v>
      </c>
      <c r="BW31" s="618">
        <v>5619.3813140000002</v>
      </c>
      <c r="BX31" s="819">
        <f t="shared" si="184"/>
        <v>0.17373980466574102</v>
      </c>
      <c r="BY31" s="820">
        <f t="shared" si="27"/>
        <v>-5.726126042492119E-3</v>
      </c>
      <c r="BZ31" s="822">
        <v>0</v>
      </c>
      <c r="CA31" s="823"/>
      <c r="CB31" s="824"/>
      <c r="CC31" s="825">
        <v>0</v>
      </c>
      <c r="CD31" s="823"/>
      <c r="CE31" s="826"/>
      <c r="CF31" s="822">
        <v>0</v>
      </c>
      <c r="CG31" s="823"/>
      <c r="CH31" s="826"/>
      <c r="CI31" s="822">
        <v>0</v>
      </c>
      <c r="CJ31" s="349">
        <f t="shared" si="32"/>
        <v>0</v>
      </c>
      <c r="CK31" s="350">
        <f t="shared" si="33"/>
        <v>-1</v>
      </c>
      <c r="CL31" s="618"/>
      <c r="CM31" s="349">
        <f t="shared" si="34"/>
        <v>0</v>
      </c>
      <c r="CN31" s="351">
        <f t="shared" si="35"/>
        <v>-1</v>
      </c>
    </row>
    <row r="32" spans="1:93" ht="16.2" customHeight="1" x14ac:dyDescent="0.4">
      <c r="A32" s="156">
        <f t="shared" si="4"/>
        <v>31</v>
      </c>
      <c r="B32" s="32"/>
      <c r="C32" s="33" t="s">
        <v>147</v>
      </c>
      <c r="D32" s="34" t="s">
        <v>223</v>
      </c>
      <c r="E32" s="767">
        <v>4586.9228590000002</v>
      </c>
      <c r="F32" s="768">
        <v>4574.3305120000005</v>
      </c>
      <c r="G32" s="768">
        <v>4803.7855339999996</v>
      </c>
      <c r="H32" s="768">
        <v>5177.8308429999997</v>
      </c>
      <c r="I32" s="777">
        <v>5539.9536790000002</v>
      </c>
      <c r="J32" s="349">
        <f t="shared" si="5"/>
        <v>6.9937170019673589E-2</v>
      </c>
      <c r="K32" s="350">
        <f t="shared" si="6"/>
        <v>0.20777127701854825</v>
      </c>
      <c r="L32" s="147">
        <v>6173.7079510000003</v>
      </c>
      <c r="M32" s="349">
        <f t="shared" si="7"/>
        <v>0.11439703447383276</v>
      </c>
      <c r="N32" s="350">
        <f t="shared" si="8"/>
        <v>0.34964186230188155</v>
      </c>
      <c r="O32" s="147">
        <v>6572.4792299999999</v>
      </c>
      <c r="P32" s="349">
        <f t="shared" si="9"/>
        <v>6.4591859894410408E-2</v>
      </c>
      <c r="Q32" s="350">
        <f t="shared" si="10"/>
        <v>0.36818748120240308</v>
      </c>
      <c r="R32" s="147">
        <v>6165.8761329999998</v>
      </c>
      <c r="S32" s="349">
        <f t="shared" si="11"/>
        <v>-6.1864493256070796E-2</v>
      </c>
      <c r="T32" s="351">
        <f t="shared" si="12"/>
        <v>0.19082224196948339</v>
      </c>
      <c r="U32" s="777">
        <v>6210.428629</v>
      </c>
      <c r="V32" s="349">
        <f t="shared" si="167"/>
        <v>7.2256553714327154E-3</v>
      </c>
      <c r="W32" s="350">
        <f t="shared" si="13"/>
        <v>0.12102537112206058</v>
      </c>
      <c r="X32" s="147">
        <v>5870.1221100000002</v>
      </c>
      <c r="Y32" s="349">
        <f t="shared" si="168"/>
        <v>-5.4795979364599123E-2</v>
      </c>
      <c r="Z32" s="350">
        <f t="shared" si="14"/>
        <v>-4.9173988048920592E-2</v>
      </c>
      <c r="AA32" s="147">
        <v>5024.6128820000004</v>
      </c>
      <c r="AB32" s="349">
        <f t="shared" si="169"/>
        <v>-0.1440360544731496</v>
      </c>
      <c r="AC32" s="350">
        <f t="shared" si="15"/>
        <v>-0.23550722548270409</v>
      </c>
      <c r="AD32" s="147">
        <v>6641.2731389999999</v>
      </c>
      <c r="AE32" s="349">
        <f t="shared" si="170"/>
        <v>0.3217482211995808</v>
      </c>
      <c r="AF32" s="351">
        <f t="shared" si="16"/>
        <v>7.7101290351205387E-2</v>
      </c>
      <c r="AG32" s="777">
        <v>5243.6387869999999</v>
      </c>
      <c r="AH32" s="349">
        <f t="shared" si="171"/>
        <v>-0.21044675060758711</v>
      </c>
      <c r="AI32" s="350">
        <f t="shared" si="17"/>
        <v>-0.1556719994310074</v>
      </c>
      <c r="AJ32" s="147">
        <v>5066.5780510000004</v>
      </c>
      <c r="AK32" s="349">
        <f t="shared" si="172"/>
        <v>-3.3766768305812267E-2</v>
      </c>
      <c r="AL32" s="350">
        <f t="shared" si="18"/>
        <v>-0.13688711136538856</v>
      </c>
      <c r="AM32" s="147">
        <v>4838.6872540000004</v>
      </c>
      <c r="AN32" s="349">
        <f t="shared" si="173"/>
        <v>-4.497923346014987E-2</v>
      </c>
      <c r="AO32" s="350">
        <f t="shared" si="19"/>
        <v>-3.7002975625456291E-2</v>
      </c>
      <c r="AP32" s="147">
        <v>6742.8183419999996</v>
      </c>
      <c r="AQ32" s="349">
        <f t="shared" si="174"/>
        <v>0.39352224850364315</v>
      </c>
      <c r="AR32" s="351">
        <f t="shared" si="20"/>
        <v>1.5290020584108888E-2</v>
      </c>
      <c r="AS32" s="777">
        <v>6687.1877240000003</v>
      </c>
      <c r="AT32" s="349">
        <f t="shared" si="175"/>
        <v>-8.250350992475175E-3</v>
      </c>
      <c r="AU32" s="350">
        <f t="shared" si="137"/>
        <v>0.27529526644337876</v>
      </c>
      <c r="AV32" s="147">
        <v>6630.4673160000002</v>
      </c>
      <c r="AW32" s="349">
        <f t="shared" si="176"/>
        <v>-8.4819524052589523E-3</v>
      </c>
      <c r="AX32" s="350">
        <f t="shared" si="139"/>
        <v>0.30866775351291231</v>
      </c>
      <c r="AY32" s="147">
        <v>12630.312449999999</v>
      </c>
      <c r="AZ32" s="349">
        <f t="shared" si="177"/>
        <v>0.90489023594487161</v>
      </c>
      <c r="BA32" s="350">
        <f t="shared" si="141"/>
        <v>1.6102766694745339</v>
      </c>
      <c r="BB32" s="147">
        <v>6293.1827620000004</v>
      </c>
      <c r="BC32" s="349">
        <f t="shared" si="178"/>
        <v>-0.50173974025480261</v>
      </c>
      <c r="BD32" s="351">
        <f t="shared" si="143"/>
        <v>-6.6683626518497019E-2</v>
      </c>
      <c r="BE32" s="617">
        <v>4825.8271089999998</v>
      </c>
      <c r="BF32" s="349">
        <f>(IFERROR(BE32/BB32-1,0))</f>
        <v>-0.23316590483599253</v>
      </c>
      <c r="BG32" s="350">
        <f t="shared" si="0"/>
        <v>-0.27834729512970979</v>
      </c>
      <c r="BH32" s="618">
        <v>4661.5818989999998</v>
      </c>
      <c r="BI32" s="349">
        <f t="shared" si="179"/>
        <v>-3.4034623762979055E-2</v>
      </c>
      <c r="BJ32" s="350">
        <f t="shared" si="1"/>
        <v>-0.29694519604204628</v>
      </c>
      <c r="BK32" s="618">
        <v>5309.1213040000002</v>
      </c>
      <c r="BL32" s="349">
        <f t="shared" si="180"/>
        <v>0.13890979908320622</v>
      </c>
      <c r="BM32" s="350">
        <f t="shared" si="2"/>
        <v>-0.57965241754569574</v>
      </c>
      <c r="BN32" s="618">
        <v>5072.1659609999997</v>
      </c>
      <c r="BO32" s="349">
        <f t="shared" si="181"/>
        <v>-4.4631744017879837E-2</v>
      </c>
      <c r="BP32" s="351">
        <f t="shared" si="3"/>
        <v>-0.19402214224141745</v>
      </c>
      <c r="BQ32" s="617">
        <v>6001.7522090000002</v>
      </c>
      <c r="BR32" s="349">
        <f t="shared" si="182"/>
        <v>0.1832720488934334</v>
      </c>
      <c r="BS32" s="350">
        <f t="shared" si="25"/>
        <v>0.24367327578042342</v>
      </c>
      <c r="BT32" s="618">
        <v>3945.2064560000003</v>
      </c>
      <c r="BU32" s="349">
        <f t="shared" si="183"/>
        <v>-0.34265755755728833</v>
      </c>
      <c r="BV32" s="350">
        <f t="shared" si="26"/>
        <v>-0.15367646831511761</v>
      </c>
      <c r="BW32" s="618">
        <v>4632.2615989999995</v>
      </c>
      <c r="BX32" s="349">
        <f t="shared" si="184"/>
        <v>0.17414935077861471</v>
      </c>
      <c r="BY32" s="350">
        <f t="shared" si="27"/>
        <v>-0.12748996797079037</v>
      </c>
      <c r="BZ32" s="618">
        <v>5529.5277770000002</v>
      </c>
      <c r="CA32" s="349">
        <f t="shared" si="165"/>
        <v>0.19369937531025894</v>
      </c>
      <c r="CB32" s="351">
        <f t="shared" si="28"/>
        <v>9.0170909137568866E-2</v>
      </c>
      <c r="CC32" s="617">
        <v>5479</v>
      </c>
      <c r="CD32" s="349">
        <f t="shared" si="166"/>
        <v>-9.137810503488164E-3</v>
      </c>
      <c r="CE32" s="350">
        <f t="shared" si="29"/>
        <v>-8.7099931952555609E-2</v>
      </c>
      <c r="CF32" s="618">
        <v>4887.9031000000004</v>
      </c>
      <c r="CG32" s="349">
        <f t="shared" si="30"/>
        <v>-0.10788408468698663</v>
      </c>
      <c r="CH32" s="350">
        <f t="shared" si="31"/>
        <v>-0.26281167419301099</v>
      </c>
      <c r="CI32" s="618">
        <v>3948.1728079999998</v>
      </c>
      <c r="CJ32" s="349">
        <f t="shared" si="32"/>
        <v>-0.19225632603068599</v>
      </c>
      <c r="CK32" s="350">
        <f t="shared" si="33"/>
        <v>-0.68740497722207972</v>
      </c>
      <c r="CL32" s="618"/>
      <c r="CM32" s="349">
        <f t="shared" si="34"/>
        <v>-1</v>
      </c>
      <c r="CN32" s="351">
        <f t="shared" si="35"/>
        <v>-1</v>
      </c>
    </row>
    <row r="33" spans="1:93" ht="16.2" customHeight="1" x14ac:dyDescent="0.4">
      <c r="A33" s="156">
        <f t="shared" si="4"/>
        <v>32</v>
      </c>
      <c r="B33" s="32"/>
      <c r="C33" s="33" t="s">
        <v>265</v>
      </c>
      <c r="D33" s="34" t="s">
        <v>275</v>
      </c>
      <c r="E33" s="767">
        <v>0</v>
      </c>
      <c r="F33" s="768">
        <v>0</v>
      </c>
      <c r="G33" s="768">
        <v>0</v>
      </c>
      <c r="H33" s="768">
        <v>0</v>
      </c>
      <c r="I33" s="777">
        <v>0</v>
      </c>
      <c r="J33" s="349">
        <v>0</v>
      </c>
      <c r="K33" s="350">
        <v>0</v>
      </c>
      <c r="L33" s="147">
        <v>0</v>
      </c>
      <c r="M33" s="349">
        <v>0</v>
      </c>
      <c r="N33" s="350">
        <v>0</v>
      </c>
      <c r="O33" s="147">
        <v>0</v>
      </c>
      <c r="P33" s="349">
        <v>0</v>
      </c>
      <c r="Q33" s="350">
        <v>0</v>
      </c>
      <c r="R33" s="147">
        <v>0</v>
      </c>
      <c r="S33" s="349">
        <v>0</v>
      </c>
      <c r="T33" s="351">
        <v>0</v>
      </c>
      <c r="U33" s="777">
        <v>0</v>
      </c>
      <c r="V33" s="349">
        <v>0</v>
      </c>
      <c r="W33" s="350">
        <v>0</v>
      </c>
      <c r="X33" s="147">
        <v>0</v>
      </c>
      <c r="Y33" s="349">
        <v>0</v>
      </c>
      <c r="Z33" s="350">
        <v>0</v>
      </c>
      <c r="AA33" s="147">
        <v>0</v>
      </c>
      <c r="AB33" s="349">
        <v>0</v>
      </c>
      <c r="AC33" s="350">
        <v>0</v>
      </c>
      <c r="AD33" s="147">
        <v>0</v>
      </c>
      <c r="AE33" s="349">
        <v>0</v>
      </c>
      <c r="AF33" s="351">
        <v>0</v>
      </c>
      <c r="AG33" s="777">
        <v>0</v>
      </c>
      <c r="AH33" s="349">
        <v>0</v>
      </c>
      <c r="AI33" s="350">
        <v>0</v>
      </c>
      <c r="AJ33" s="147">
        <v>0</v>
      </c>
      <c r="AK33" s="349">
        <v>0</v>
      </c>
      <c r="AL33" s="350">
        <v>0</v>
      </c>
      <c r="AM33" s="147">
        <v>0</v>
      </c>
      <c r="AN33" s="349">
        <v>0</v>
      </c>
      <c r="AO33" s="350">
        <v>0</v>
      </c>
      <c r="AP33" s="147">
        <v>0</v>
      </c>
      <c r="AQ33" s="349">
        <v>0</v>
      </c>
      <c r="AR33" s="351">
        <v>0</v>
      </c>
      <c r="AS33" s="777">
        <v>0</v>
      </c>
      <c r="AT33" s="349">
        <v>0</v>
      </c>
      <c r="AU33" s="350">
        <v>0</v>
      </c>
      <c r="AV33" s="147">
        <v>0</v>
      </c>
      <c r="AW33" s="349">
        <v>0</v>
      </c>
      <c r="AX33" s="350">
        <v>0</v>
      </c>
      <c r="AY33" s="147">
        <v>0</v>
      </c>
      <c r="AZ33" s="349">
        <v>0</v>
      </c>
      <c r="BA33" s="350">
        <v>0</v>
      </c>
      <c r="BB33" s="147">
        <v>0</v>
      </c>
      <c r="BC33" s="349">
        <v>0</v>
      </c>
      <c r="BD33" s="351">
        <v>0</v>
      </c>
      <c r="BE33" s="617">
        <v>0</v>
      </c>
      <c r="BF33" s="349">
        <v>0</v>
      </c>
      <c r="BG33" s="350">
        <v>0</v>
      </c>
      <c r="BH33" s="618">
        <v>0</v>
      </c>
      <c r="BI33" s="349">
        <v>0</v>
      </c>
      <c r="BJ33" s="350">
        <v>0</v>
      </c>
      <c r="BK33" s="618">
        <v>0</v>
      </c>
      <c r="BL33" s="349">
        <v>0</v>
      </c>
      <c r="BM33" s="350">
        <v>0</v>
      </c>
      <c r="BN33" s="618">
        <v>0</v>
      </c>
      <c r="BO33" s="349">
        <v>0</v>
      </c>
      <c r="BP33" s="351">
        <v>0</v>
      </c>
      <c r="BQ33" s="617">
        <v>0</v>
      </c>
      <c r="BR33" s="349">
        <f t="shared" ref="BR33" si="185">(IFERROR(BQ33/BN33-1,0))</f>
        <v>0</v>
      </c>
      <c r="BS33" s="350">
        <f t="shared" ref="BS33" si="186">IFERROR(BQ33/BE33-1,)</f>
        <v>0</v>
      </c>
      <c r="BT33" s="618">
        <v>0</v>
      </c>
      <c r="BU33" s="349">
        <f t="shared" ref="BU33" si="187">(IFERROR(BT33/BQ33-1,0))</f>
        <v>0</v>
      </c>
      <c r="BV33" s="350">
        <f t="shared" ref="BV33" si="188">IFERROR(BT33/BH33-1,)</f>
        <v>0</v>
      </c>
      <c r="BW33" s="618">
        <v>0</v>
      </c>
      <c r="BX33" s="349">
        <f t="shared" ref="BX33" si="189">(IFERROR(BW33/BT33-1,0))</f>
        <v>0</v>
      </c>
      <c r="BY33" s="350">
        <f t="shared" ref="BY33" si="190">IFERROR(BW33/BK33-1,)</f>
        <v>0</v>
      </c>
      <c r="BZ33" s="618">
        <v>2096.5291579999998</v>
      </c>
      <c r="CA33" s="349">
        <f t="shared" si="165"/>
        <v>0</v>
      </c>
      <c r="CB33" s="351">
        <f t="shared" si="28"/>
        <v>0</v>
      </c>
      <c r="CC33" s="617">
        <v>2170</v>
      </c>
      <c r="CD33" s="349">
        <f t="shared" ref="CD33" si="191">(IFERROR(CC33/BZ33-1,0))</f>
        <v>3.5044035385650485E-2</v>
      </c>
      <c r="CE33" s="350">
        <f t="shared" ref="CE33" si="192">IFERROR(CC33/BQ33-1,)</f>
        <v>0</v>
      </c>
      <c r="CF33" s="618">
        <v>2244.0977010000001</v>
      </c>
      <c r="CG33" s="349">
        <f t="shared" si="30"/>
        <v>3.4146405990783446E-2</v>
      </c>
      <c r="CH33" s="350">
        <f t="shared" si="31"/>
        <v>0</v>
      </c>
      <c r="CI33" s="618">
        <v>2328.2594309999999</v>
      </c>
      <c r="CJ33" s="349"/>
      <c r="CK33" s="350">
        <f t="shared" si="33"/>
        <v>0</v>
      </c>
      <c r="CL33" s="618"/>
      <c r="CM33" s="349"/>
      <c r="CN33" s="351"/>
    </row>
    <row r="34" spans="1:93" ht="16.2" customHeight="1" x14ac:dyDescent="0.4">
      <c r="A34" s="156">
        <f t="shared" si="4"/>
        <v>33</v>
      </c>
      <c r="B34" s="32"/>
      <c r="C34" s="33" t="s">
        <v>261</v>
      </c>
      <c r="D34" s="34" t="s">
        <v>262</v>
      </c>
      <c r="E34" s="767">
        <v>224.157342</v>
      </c>
      <c r="F34" s="768">
        <v>217.26020399999999</v>
      </c>
      <c r="G34" s="768">
        <v>327.59132699999998</v>
      </c>
      <c r="H34" s="768">
        <v>474.14202499999999</v>
      </c>
      <c r="I34" s="777">
        <v>490.10962499999999</v>
      </c>
      <c r="J34" s="349">
        <f t="shared" si="5"/>
        <v>3.3676829215887327E-2</v>
      </c>
      <c r="K34" s="350">
        <f t="shared" si="6"/>
        <v>1.186453589372058</v>
      </c>
      <c r="L34" s="147">
        <v>617.44629199999997</v>
      </c>
      <c r="M34" s="349">
        <f t="shared" si="7"/>
        <v>0.25981262253317294</v>
      </c>
      <c r="N34" s="350">
        <f t="shared" si="8"/>
        <v>1.8419668242601852</v>
      </c>
      <c r="O34" s="147">
        <v>702.56562899999994</v>
      </c>
      <c r="P34" s="349">
        <f t="shared" si="9"/>
        <v>0.13785707048994622</v>
      </c>
      <c r="Q34" s="350">
        <f t="shared" si="10"/>
        <v>1.1446405050888298</v>
      </c>
      <c r="R34" s="147">
        <v>756.12944400000003</v>
      </c>
      <c r="S34" s="349">
        <f t="shared" si="11"/>
        <v>7.624030096126444E-2</v>
      </c>
      <c r="T34" s="351">
        <f t="shared" si="12"/>
        <v>0.59473196665070982</v>
      </c>
      <c r="U34" s="777">
        <v>741.05175799999995</v>
      </c>
      <c r="V34" s="349">
        <f t="shared" si="167"/>
        <v>-1.9940614824146552E-2</v>
      </c>
      <c r="W34" s="350">
        <f t="shared" si="13"/>
        <v>0.51201225236088765</v>
      </c>
      <c r="X34" s="147">
        <v>685.60485200000005</v>
      </c>
      <c r="Y34" s="349">
        <f t="shared" si="168"/>
        <v>-7.4821907378836428E-2</v>
      </c>
      <c r="Z34" s="350">
        <f t="shared" si="14"/>
        <v>0.11038783596743995</v>
      </c>
      <c r="AA34" s="147">
        <v>725.19613600000002</v>
      </c>
      <c r="AB34" s="349">
        <f t="shared" si="169"/>
        <v>5.7746504979518498E-2</v>
      </c>
      <c r="AC34" s="350">
        <f t="shared" si="15"/>
        <v>3.221123559974215E-2</v>
      </c>
      <c r="AD34" s="147">
        <v>775.58098399999994</v>
      </c>
      <c r="AE34" s="349">
        <f t="shared" si="170"/>
        <v>6.9477546140703561E-2</v>
      </c>
      <c r="AF34" s="351">
        <f t="shared" si="16"/>
        <v>2.5725145547962347E-2</v>
      </c>
      <c r="AG34" s="777">
        <v>658.31196</v>
      </c>
      <c r="AH34" s="349">
        <f t="shared" si="171"/>
        <v>-0.15120152043335811</v>
      </c>
      <c r="AI34" s="350">
        <f t="shared" si="17"/>
        <v>-0.11165184767026748</v>
      </c>
      <c r="AJ34" s="147">
        <v>761.50987099999998</v>
      </c>
      <c r="AK34" s="349">
        <f t="shared" si="172"/>
        <v>0.15676140989448228</v>
      </c>
      <c r="AL34" s="350">
        <f t="shared" si="18"/>
        <v>0.11071248807323197</v>
      </c>
      <c r="AM34" s="147">
        <v>790.439212</v>
      </c>
      <c r="AN34" s="349">
        <f t="shared" si="173"/>
        <v>3.7989449778255135E-2</v>
      </c>
      <c r="AO34" s="350">
        <f t="shared" si="19"/>
        <v>8.9966110906029462E-2</v>
      </c>
      <c r="AP34" s="147">
        <v>827.52125100000001</v>
      </c>
      <c r="AQ34" s="349">
        <f t="shared" si="174"/>
        <v>4.6913207792631528E-2</v>
      </c>
      <c r="AR34" s="351">
        <f t="shared" si="20"/>
        <v>6.6969495219083575E-2</v>
      </c>
      <c r="AS34" s="777">
        <v>903.98603200000002</v>
      </c>
      <c r="AT34" s="349">
        <f t="shared" ref="AT34:AT35" si="193">(IFERROR(AS34/AP34-1,0))</f>
        <v>9.2402196206559983E-2</v>
      </c>
      <c r="AU34" s="350">
        <f t="shared" ref="AU34:AU35" si="194">IFERROR(AS34/AG34-1,)</f>
        <v>0.37318792142254265</v>
      </c>
      <c r="AV34" s="147">
        <v>947.98933099999999</v>
      </c>
      <c r="AW34" s="349">
        <f t="shared" ref="AW34:AW35" si="195">(IFERROR(AV34/AS34-1,0))</f>
        <v>4.867696783173292E-2</v>
      </c>
      <c r="AX34" s="350">
        <f t="shared" ref="AX34:AX35" si="196">IFERROR(AV34/AJ34-1,)</f>
        <v>0.24488121178930844</v>
      </c>
      <c r="AY34" s="147">
        <v>1080.8322149999999</v>
      </c>
      <c r="AZ34" s="349">
        <f t="shared" ref="AZ34:AZ35" si="197">(IFERROR(AY34/AV34-1,0))</f>
        <v>0.14013120153986192</v>
      </c>
      <c r="BA34" s="350">
        <f t="shared" ref="BA34:BA35" si="198">IFERROR(AY34/AM34-1,)</f>
        <v>0.36738182847133327</v>
      </c>
      <c r="BB34" s="147">
        <v>1225.9501250000001</v>
      </c>
      <c r="BC34" s="349">
        <f t="shared" ref="BC34:BC35" si="199">(IFERROR(BB34/AY34-1,0))</f>
        <v>0.13426497469822385</v>
      </c>
      <c r="BD34" s="351">
        <f t="shared" ref="BD34:BD35" si="200">IFERROR(BB34/AP34-1,)</f>
        <v>0.48147267942488159</v>
      </c>
      <c r="BE34" s="617">
        <v>1102.374401</v>
      </c>
      <c r="BF34" s="349">
        <f>(IFERROR(BE34/BB34-1,0))</f>
        <v>-0.10079996035727801</v>
      </c>
      <c r="BG34" s="350">
        <f t="shared" ref="BG34:BG51" si="201">IFERROR(BE34/AS34-1,)</f>
        <v>0.21945955133961625</v>
      </c>
      <c r="BH34" s="618">
        <v>1214.7489459999999</v>
      </c>
      <c r="BI34" s="349">
        <f t="shared" si="179"/>
        <v>0.10193863799636604</v>
      </c>
      <c r="BJ34" s="350">
        <f t="shared" si="1"/>
        <v>0.28139516582808466</v>
      </c>
      <c r="BK34" s="618">
        <v>1319.069066</v>
      </c>
      <c r="BL34" s="349">
        <f t="shared" si="180"/>
        <v>8.5877925923304455E-2</v>
      </c>
      <c r="BM34" s="350">
        <f t="shared" si="2"/>
        <v>0.22041982806739346</v>
      </c>
      <c r="BN34" s="618">
        <v>1382.8205379999999</v>
      </c>
      <c r="BO34" s="349">
        <f t="shared" si="181"/>
        <v>4.833065503789169E-2</v>
      </c>
      <c r="BP34" s="351">
        <f t="shared" si="3"/>
        <v>0.12795823402685325</v>
      </c>
      <c r="BQ34" s="617">
        <v>1328.6669710000001</v>
      </c>
      <c r="BR34" s="349">
        <f t="shared" si="182"/>
        <v>-3.9161673920697804E-2</v>
      </c>
      <c r="BS34" s="350">
        <f t="shared" si="25"/>
        <v>0.20527741735904126</v>
      </c>
      <c r="BT34" s="618">
        <v>1429.2830039999999</v>
      </c>
      <c r="BU34" s="349">
        <f t="shared" si="183"/>
        <v>7.5727052147817497E-2</v>
      </c>
      <c r="BV34" s="350">
        <f t="shared" si="26"/>
        <v>0.17660773339744873</v>
      </c>
      <c r="BW34" s="618">
        <v>1534.8468270000001</v>
      </c>
      <c r="BX34" s="349">
        <f t="shared" si="184"/>
        <v>7.3857887279544121E-2</v>
      </c>
      <c r="BY34" s="350">
        <f t="shared" si="27"/>
        <v>0.1635833684238639</v>
      </c>
      <c r="BZ34" s="618">
        <v>1994.70796</v>
      </c>
      <c r="CA34" s="349">
        <f t="shared" si="165"/>
        <v>0.29961369754325329</v>
      </c>
      <c r="CB34" s="351">
        <f t="shared" si="28"/>
        <v>0.44249228673229335</v>
      </c>
      <c r="CC34" s="617">
        <v>2051</v>
      </c>
      <c r="CD34" s="349">
        <f t="shared" ref="CD34:CD36" si="202">(IFERROR(CC34/BZ34-1,0))</f>
        <v>2.8220692516813362E-2</v>
      </c>
      <c r="CE34" s="350">
        <f t="shared" ref="CE34:CE51" si="203">IFERROR(CC34/BQ34-1,)</f>
        <v>0.54365243117042894</v>
      </c>
      <c r="CF34" s="618">
        <v>1927.7216269999999</v>
      </c>
      <c r="CG34" s="349">
        <f t="shared" si="30"/>
        <v>-6.0106471477328172E-2</v>
      </c>
      <c r="CH34" s="350">
        <f t="shared" si="31"/>
        <v>1.0334845171374614</v>
      </c>
      <c r="CI34" s="618">
        <v>1949.666322</v>
      </c>
      <c r="CJ34" s="349">
        <f t="shared" si="32"/>
        <v>1.1383746850499143E-2</v>
      </c>
      <c r="CK34" s="350">
        <f t="shared" si="33"/>
        <v>0.80385659766812201</v>
      </c>
      <c r="CL34" s="618"/>
      <c r="CM34" s="349">
        <f t="shared" si="34"/>
        <v>-1</v>
      </c>
      <c r="CN34" s="351">
        <f t="shared" si="35"/>
        <v>-1</v>
      </c>
    </row>
    <row r="35" spans="1:93" ht="16.2" customHeight="1" x14ac:dyDescent="0.4">
      <c r="A35" s="156">
        <f t="shared" si="4"/>
        <v>34</v>
      </c>
      <c r="B35" s="32"/>
      <c r="C35" s="33" t="s">
        <v>148</v>
      </c>
      <c r="D35" s="34" t="s">
        <v>280</v>
      </c>
      <c r="E35" s="767">
        <v>0</v>
      </c>
      <c r="F35" s="768">
        <v>0</v>
      </c>
      <c r="G35" s="768">
        <v>0</v>
      </c>
      <c r="H35" s="768">
        <v>0</v>
      </c>
      <c r="I35" s="777">
        <v>61.984146000000003</v>
      </c>
      <c r="J35" s="349">
        <f t="shared" si="5"/>
        <v>0</v>
      </c>
      <c r="K35" s="350">
        <f t="shared" si="6"/>
        <v>0</v>
      </c>
      <c r="L35" s="147">
        <v>171.063703</v>
      </c>
      <c r="M35" s="349">
        <f t="shared" si="7"/>
        <v>1.7597976908482371</v>
      </c>
      <c r="N35" s="350">
        <f t="shared" si="8"/>
        <v>0</v>
      </c>
      <c r="O35" s="147">
        <v>141.73281499999999</v>
      </c>
      <c r="P35" s="349">
        <f t="shared" si="9"/>
        <v>-0.17146178578865445</v>
      </c>
      <c r="Q35" s="350">
        <f t="shared" si="10"/>
        <v>0</v>
      </c>
      <c r="R35" s="147">
        <v>192.277872</v>
      </c>
      <c r="S35" s="349">
        <f t="shared" si="11"/>
        <v>0.35662212029020957</v>
      </c>
      <c r="T35" s="351">
        <f t="shared" si="12"/>
        <v>0</v>
      </c>
      <c r="U35" s="777">
        <v>208.44375700000001</v>
      </c>
      <c r="V35" s="349">
        <f t="shared" si="167"/>
        <v>8.4075639239444167E-2</v>
      </c>
      <c r="W35" s="350">
        <f t="shared" si="13"/>
        <v>2.3628559954669699</v>
      </c>
      <c r="X35" s="147">
        <v>175.116311</v>
      </c>
      <c r="Y35" s="349">
        <f t="shared" si="168"/>
        <v>-0.15988699532027728</v>
      </c>
      <c r="Z35" s="350">
        <f t="shared" si="14"/>
        <v>2.3690636464241521E-2</v>
      </c>
      <c r="AA35" s="147">
        <v>193.31239299999999</v>
      </c>
      <c r="AB35" s="349">
        <f t="shared" si="169"/>
        <v>0.10390855024350065</v>
      </c>
      <c r="AC35" s="350">
        <f t="shared" si="15"/>
        <v>0.36392121330547211</v>
      </c>
      <c r="AD35" s="147">
        <v>215.579441</v>
      </c>
      <c r="AE35" s="349">
        <f t="shared" si="170"/>
        <v>0.11518686233427378</v>
      </c>
      <c r="AF35" s="351">
        <f t="shared" si="16"/>
        <v>0.12118695072722674</v>
      </c>
      <c r="AG35" s="777">
        <v>367.02980100000002</v>
      </c>
      <c r="AH35" s="349">
        <f t="shared" si="171"/>
        <v>0.70252691674805856</v>
      </c>
      <c r="AI35" s="350">
        <f t="shared" si="17"/>
        <v>0.76080975646586535</v>
      </c>
      <c r="AJ35" s="147">
        <v>385.862302</v>
      </c>
      <c r="AK35" s="349">
        <f t="shared" si="172"/>
        <v>5.1310550120697185E-2</v>
      </c>
      <c r="AL35" s="350">
        <f t="shared" si="18"/>
        <v>1.2034629429807939</v>
      </c>
      <c r="AM35" s="147">
        <v>412.13727799999998</v>
      </c>
      <c r="AN35" s="349">
        <f t="shared" si="173"/>
        <v>6.809417728503564E-2</v>
      </c>
      <c r="AO35" s="350">
        <f t="shared" si="19"/>
        <v>1.1319754600523724</v>
      </c>
      <c r="AP35" s="147">
        <v>514.15452800000003</v>
      </c>
      <c r="AQ35" s="349">
        <f t="shared" si="174"/>
        <v>0.24753220697497791</v>
      </c>
      <c r="AR35" s="351">
        <f t="shared" si="20"/>
        <v>1.3849886873025152</v>
      </c>
      <c r="AS35" s="777">
        <v>481.78481399999998</v>
      </c>
      <c r="AT35" s="349">
        <f t="shared" si="193"/>
        <v>-6.2957169950276226E-2</v>
      </c>
      <c r="AU35" s="350">
        <f t="shared" si="194"/>
        <v>0.31265857074096259</v>
      </c>
      <c r="AV35" s="147">
        <v>479.70976100000001</v>
      </c>
      <c r="AW35" s="349">
        <f t="shared" si="195"/>
        <v>-4.3070120512349597E-3</v>
      </c>
      <c r="AX35" s="350">
        <f t="shared" si="196"/>
        <v>0.24321489431222032</v>
      </c>
      <c r="AY35" s="147">
        <v>536.50387599999999</v>
      </c>
      <c r="AZ35" s="349">
        <f t="shared" si="197"/>
        <v>0.1183926607655581</v>
      </c>
      <c r="BA35" s="350">
        <f t="shared" si="198"/>
        <v>0.30176012857541124</v>
      </c>
      <c r="BB35" s="147">
        <v>557.30323999999996</v>
      </c>
      <c r="BC35" s="349">
        <f t="shared" si="199"/>
        <v>3.8768338739830321E-2</v>
      </c>
      <c r="BD35" s="351">
        <f t="shared" si="200"/>
        <v>8.3921680448567182E-2</v>
      </c>
      <c r="BE35" s="617">
        <v>561.09967800000004</v>
      </c>
      <c r="BF35" s="349">
        <f>(IFERROR(BE35/BB35-1,0))</f>
        <v>6.8121584938212187E-3</v>
      </c>
      <c r="BG35" s="350">
        <f t="shared" si="201"/>
        <v>0.16462715655458582</v>
      </c>
      <c r="BH35" s="618">
        <v>776.724063</v>
      </c>
      <c r="BI35" s="349">
        <f t="shared" si="179"/>
        <v>0.38428891238821916</v>
      </c>
      <c r="BJ35" s="350">
        <f t="shared" si="1"/>
        <v>0.61915417643544668</v>
      </c>
      <c r="BK35" s="618">
        <v>804.78165899999999</v>
      </c>
      <c r="BL35" s="349">
        <f t="shared" si="180"/>
        <v>3.6122990565827129E-2</v>
      </c>
      <c r="BM35" s="350">
        <f t="shared" si="2"/>
        <v>0.50004817299772863</v>
      </c>
      <c r="BN35" s="618">
        <v>739.36938899999996</v>
      </c>
      <c r="BO35" s="349">
        <f t="shared" si="181"/>
        <v>-8.1279523791930819E-2</v>
      </c>
      <c r="BP35" s="351">
        <f t="shared" si="3"/>
        <v>0.32669135209047062</v>
      </c>
      <c r="BQ35" s="617">
        <v>677.20358099999999</v>
      </c>
      <c r="BR35" s="349">
        <f t="shared" si="182"/>
        <v>-8.4079499266367375E-2</v>
      </c>
      <c r="BS35" s="350">
        <f t="shared" si="25"/>
        <v>0.20692206314187178</v>
      </c>
      <c r="BT35" s="618">
        <v>580.89419099999998</v>
      </c>
      <c r="BU35" s="349">
        <f t="shared" si="183"/>
        <v>-0.14221630348998404</v>
      </c>
      <c r="BV35" s="350">
        <f t="shared" si="26"/>
        <v>-0.25212283400057356</v>
      </c>
      <c r="BW35" s="618">
        <v>553.40617299999997</v>
      </c>
      <c r="BX35" s="349">
        <f t="shared" si="184"/>
        <v>-4.7320180552468338E-2</v>
      </c>
      <c r="BY35" s="350">
        <f t="shared" si="27"/>
        <v>-0.31235240414443888</v>
      </c>
      <c r="BZ35" s="618">
        <v>538.59117600000002</v>
      </c>
      <c r="CA35" s="349">
        <f t="shared" si="165"/>
        <v>-2.6770566941254459E-2</v>
      </c>
      <c r="CB35" s="351">
        <f t="shared" si="28"/>
        <v>-0.27155332096119544</v>
      </c>
      <c r="CC35" s="617">
        <v>408</v>
      </c>
      <c r="CD35" s="349">
        <f t="shared" si="202"/>
        <v>-0.24246809420435067</v>
      </c>
      <c r="CE35" s="350">
        <f t="shared" si="203"/>
        <v>-0.39752238256401062</v>
      </c>
      <c r="CF35" s="618">
        <v>342.84917100000001</v>
      </c>
      <c r="CG35" s="349">
        <f t="shared" si="30"/>
        <v>-0.15968340441176465</v>
      </c>
      <c r="CH35" s="350">
        <f t="shared" si="31"/>
        <v>-0.28529873920993654</v>
      </c>
      <c r="CI35" s="618">
        <v>298.14576299999999</v>
      </c>
      <c r="CJ35" s="349">
        <f t="shared" si="32"/>
        <v>-0.13038797168332672</v>
      </c>
      <c r="CK35" s="350">
        <f t="shared" si="33"/>
        <v>-0.44428031867564743</v>
      </c>
      <c r="CL35" s="618"/>
      <c r="CM35" s="349">
        <f t="shared" si="34"/>
        <v>-1</v>
      </c>
      <c r="CN35" s="351">
        <f t="shared" si="35"/>
        <v>-1</v>
      </c>
    </row>
    <row r="36" spans="1:93" ht="16.2" customHeight="1" x14ac:dyDescent="0.4">
      <c r="A36" s="156">
        <f t="shared" si="4"/>
        <v>35</v>
      </c>
      <c r="B36" s="32"/>
      <c r="C36" s="33" t="s">
        <v>269</v>
      </c>
      <c r="D36" s="34" t="s">
        <v>276</v>
      </c>
      <c r="E36" s="767">
        <v>0</v>
      </c>
      <c r="F36" s="768">
        <v>0</v>
      </c>
      <c r="G36" s="768">
        <v>0</v>
      </c>
      <c r="H36" s="768">
        <v>0</v>
      </c>
      <c r="I36" s="777">
        <v>0</v>
      </c>
      <c r="J36" s="349">
        <v>0</v>
      </c>
      <c r="K36" s="350">
        <v>0</v>
      </c>
      <c r="L36" s="147">
        <v>0</v>
      </c>
      <c r="M36" s="349">
        <v>0</v>
      </c>
      <c r="N36" s="350">
        <v>0</v>
      </c>
      <c r="O36" s="147">
        <v>0</v>
      </c>
      <c r="P36" s="349">
        <v>0</v>
      </c>
      <c r="Q36" s="350">
        <v>0</v>
      </c>
      <c r="R36" s="147">
        <v>0</v>
      </c>
      <c r="S36" s="349">
        <v>0</v>
      </c>
      <c r="T36" s="351">
        <v>0</v>
      </c>
      <c r="U36" s="777">
        <v>0</v>
      </c>
      <c r="V36" s="349">
        <v>0</v>
      </c>
      <c r="W36" s="350">
        <v>0</v>
      </c>
      <c r="X36" s="147">
        <v>0</v>
      </c>
      <c r="Y36" s="349">
        <v>0</v>
      </c>
      <c r="Z36" s="350">
        <v>0</v>
      </c>
      <c r="AA36" s="147">
        <v>0</v>
      </c>
      <c r="AB36" s="349">
        <v>0</v>
      </c>
      <c r="AC36" s="350">
        <v>0</v>
      </c>
      <c r="AD36" s="147">
        <v>0</v>
      </c>
      <c r="AE36" s="349">
        <v>0</v>
      </c>
      <c r="AF36" s="351">
        <v>0</v>
      </c>
      <c r="AG36" s="777">
        <v>0</v>
      </c>
      <c r="AH36" s="349">
        <v>0</v>
      </c>
      <c r="AI36" s="350">
        <v>0</v>
      </c>
      <c r="AJ36" s="147">
        <v>0</v>
      </c>
      <c r="AK36" s="349">
        <v>0</v>
      </c>
      <c r="AL36" s="350">
        <v>0</v>
      </c>
      <c r="AM36" s="147">
        <v>0</v>
      </c>
      <c r="AN36" s="349">
        <v>0</v>
      </c>
      <c r="AO36" s="350">
        <v>0</v>
      </c>
      <c r="AP36" s="147">
        <v>0</v>
      </c>
      <c r="AQ36" s="349">
        <v>0</v>
      </c>
      <c r="AR36" s="351">
        <v>0</v>
      </c>
      <c r="AS36" s="777">
        <v>0</v>
      </c>
      <c r="AT36" s="349">
        <v>0</v>
      </c>
      <c r="AU36" s="350">
        <v>0</v>
      </c>
      <c r="AV36" s="147">
        <v>0</v>
      </c>
      <c r="AW36" s="349">
        <v>0</v>
      </c>
      <c r="AX36" s="350">
        <v>0</v>
      </c>
      <c r="AY36" s="147">
        <v>0</v>
      </c>
      <c r="AZ36" s="349">
        <v>0</v>
      </c>
      <c r="BA36" s="350">
        <v>0</v>
      </c>
      <c r="BB36" s="147">
        <v>0</v>
      </c>
      <c r="BC36" s="349">
        <v>0</v>
      </c>
      <c r="BD36" s="351">
        <v>0</v>
      </c>
      <c r="BE36" s="617">
        <v>0</v>
      </c>
      <c r="BF36" s="349">
        <v>0</v>
      </c>
      <c r="BG36" s="350">
        <v>0</v>
      </c>
      <c r="BH36" s="618">
        <v>0</v>
      </c>
      <c r="BI36" s="349">
        <v>0</v>
      </c>
      <c r="BJ36" s="350">
        <v>0</v>
      </c>
      <c r="BK36" s="618">
        <v>0</v>
      </c>
      <c r="BL36" s="349">
        <v>0</v>
      </c>
      <c r="BM36" s="350">
        <v>0</v>
      </c>
      <c r="BN36" s="618">
        <v>0</v>
      </c>
      <c r="BO36" s="349">
        <v>0</v>
      </c>
      <c r="BP36" s="351">
        <v>0</v>
      </c>
      <c r="BQ36" s="617">
        <v>0</v>
      </c>
      <c r="BR36" s="349">
        <f t="shared" si="182"/>
        <v>0</v>
      </c>
      <c r="BS36" s="350">
        <f t="shared" si="25"/>
        <v>0</v>
      </c>
      <c r="BT36" s="618">
        <v>0</v>
      </c>
      <c r="BU36" s="349">
        <f t="shared" si="183"/>
        <v>0</v>
      </c>
      <c r="BV36" s="350">
        <f t="shared" si="26"/>
        <v>0</v>
      </c>
      <c r="BW36" s="618">
        <v>0</v>
      </c>
      <c r="BX36" s="349">
        <f t="shared" si="184"/>
        <v>0</v>
      </c>
      <c r="BY36" s="350">
        <f t="shared" si="27"/>
        <v>0</v>
      </c>
      <c r="BZ36" s="618">
        <v>7.0594409999999996</v>
      </c>
      <c r="CA36" s="349">
        <f t="shared" si="165"/>
        <v>0</v>
      </c>
      <c r="CB36" s="351">
        <f t="shared" si="28"/>
        <v>0</v>
      </c>
      <c r="CC36" s="617">
        <v>7</v>
      </c>
      <c r="CD36" s="349">
        <f t="shared" si="202"/>
        <v>-8.4200717875536624E-3</v>
      </c>
      <c r="CE36" s="350">
        <f t="shared" si="203"/>
        <v>0</v>
      </c>
      <c r="CF36" s="618">
        <v>1538.5712450000001</v>
      </c>
      <c r="CG36" s="349">
        <f t="shared" si="30"/>
        <v>218.79589214285716</v>
      </c>
      <c r="CH36" s="350">
        <f t="shared" si="31"/>
        <v>0</v>
      </c>
      <c r="CI36" s="618">
        <v>1538.5712450000001</v>
      </c>
      <c r="CJ36" s="349"/>
      <c r="CK36" s="350"/>
      <c r="CL36" s="618"/>
      <c r="CM36" s="349"/>
      <c r="CN36" s="351"/>
    </row>
    <row r="37" spans="1:93" s="31" customFormat="1" ht="16.2" customHeight="1" x14ac:dyDescent="0.4">
      <c r="A37" s="156">
        <f t="shared" si="4"/>
        <v>36</v>
      </c>
      <c r="B37" s="28" t="s">
        <v>25</v>
      </c>
      <c r="C37" s="29"/>
      <c r="D37" s="30" t="s">
        <v>130</v>
      </c>
      <c r="E37" s="765">
        <f>SUM(E38:E42)</f>
        <v>13057.224181</v>
      </c>
      <c r="F37" s="766">
        <f>SUM(F38:F42)</f>
        <v>11008</v>
      </c>
      <c r="G37" s="766">
        <f>SUM(G38:G42)</f>
        <v>10408</v>
      </c>
      <c r="H37" s="766">
        <f>SUM(H38:H42)</f>
        <v>9809.2040130000005</v>
      </c>
      <c r="I37" s="776">
        <f>SUM(I38:I42)</f>
        <v>9435.2388709999996</v>
      </c>
      <c r="J37" s="346">
        <f t="shared" si="5"/>
        <v>-3.8123902969536605E-2</v>
      </c>
      <c r="K37" s="347">
        <f t="shared" si="6"/>
        <v>-0.27739320852516813</v>
      </c>
      <c r="L37" s="148">
        <f>SUM(L38:L42)</f>
        <v>8713.7367269999995</v>
      </c>
      <c r="M37" s="346">
        <f t="shared" si="7"/>
        <v>-7.6468879470301232E-2</v>
      </c>
      <c r="N37" s="347">
        <f t="shared" si="8"/>
        <v>-0.20841781186409891</v>
      </c>
      <c r="O37" s="148">
        <f>SUM(O38:O42)</f>
        <v>240.832652</v>
      </c>
      <c r="P37" s="346">
        <f t="shared" si="9"/>
        <v>-0.97236172499293372</v>
      </c>
      <c r="Q37" s="347">
        <f t="shared" si="10"/>
        <v>-0.97686081360491928</v>
      </c>
      <c r="R37" s="148">
        <f>SUM(R38:R42)</f>
        <v>253.84761699999999</v>
      </c>
      <c r="S37" s="346">
        <f t="shared" si="11"/>
        <v>5.4041530049671049E-2</v>
      </c>
      <c r="T37" s="348">
        <f t="shared" si="12"/>
        <v>-0.97412148665033582</v>
      </c>
      <c r="U37" s="776">
        <f>SUM(U38:U42)</f>
        <v>246.60072300000002</v>
      </c>
      <c r="V37" s="346">
        <f>IFERROR(U37/R37-1,0)</f>
        <v>-2.85482057529024E-2</v>
      </c>
      <c r="W37" s="347">
        <f t="shared" si="13"/>
        <v>-0.97386386011296988</v>
      </c>
      <c r="X37" s="148">
        <f>SUM(X38:X42)</f>
        <v>210.84304700000001</v>
      </c>
      <c r="Y37" s="346">
        <f>IFERROR(X37/U37-1,0)</f>
        <v>-0.1450023161529822</v>
      </c>
      <c r="Z37" s="347">
        <f t="shared" si="14"/>
        <v>-0.9758033718936342</v>
      </c>
      <c r="AA37" s="148">
        <f>SUM(AA38:AA42)</f>
        <v>213.92780500000001</v>
      </c>
      <c r="AB37" s="346">
        <f>IFERROR(AA37/X37-1,0)</f>
        <v>1.4630589169962072E-2</v>
      </c>
      <c r="AC37" s="347">
        <f t="shared" si="15"/>
        <v>-0.11171594373341032</v>
      </c>
      <c r="AD37" s="148">
        <f>SUM(AD38:AD42)</f>
        <v>319.55417399999999</v>
      </c>
      <c r="AE37" s="346">
        <f>IFERROR(AD37/AA37-1,0)</f>
        <v>0.49374773419472051</v>
      </c>
      <c r="AF37" s="348">
        <f t="shared" si="16"/>
        <v>0.2588425204716418</v>
      </c>
      <c r="AG37" s="776">
        <f>SUM(AG38:AG42)</f>
        <v>467.03854899999999</v>
      </c>
      <c r="AH37" s="346">
        <f>IFERROR(AG37/AD37-1,0)</f>
        <v>0.46153168069712014</v>
      </c>
      <c r="AI37" s="347">
        <f t="shared" si="17"/>
        <v>0.89390583822416425</v>
      </c>
      <c r="AJ37" s="148">
        <f>SUM(AJ38:AJ42)</f>
        <v>429.87357500000002</v>
      </c>
      <c r="AK37" s="346">
        <f>IFERROR(AJ37/AG37-1,0)</f>
        <v>-7.9575816770533825E-2</v>
      </c>
      <c r="AL37" s="347">
        <f t="shared" si="18"/>
        <v>1.0388321128749385</v>
      </c>
      <c r="AM37" s="148">
        <f>SUM(AM38:AM42)</f>
        <v>440.860141</v>
      </c>
      <c r="AN37" s="346">
        <f>IFERROR(AM37/AJ37-1,0)</f>
        <v>2.5557667739869672E-2</v>
      </c>
      <c r="AO37" s="347">
        <f t="shared" si="19"/>
        <v>1.060789344330439</v>
      </c>
      <c r="AP37" s="148">
        <f>SUM(AP38:AP42)</f>
        <v>35841.735557</v>
      </c>
      <c r="AQ37" s="346">
        <f>IFERROR(AP37/AM37-1,0)</f>
        <v>80.29956016368466</v>
      </c>
      <c r="AR37" s="348">
        <f t="shared" si="20"/>
        <v>111.16168798032975</v>
      </c>
      <c r="AS37" s="776">
        <f>SUM(AS38:AS42)</f>
        <v>103020.324013</v>
      </c>
      <c r="AT37" s="346">
        <f>IFERROR(AS37/AP37-1,0)</f>
        <v>1.8743118158763332</v>
      </c>
      <c r="AU37" s="347">
        <f t="shared" ref="AU37:AU51" si="204">IFERROR(AS37/AG37-1,)</f>
        <v>219.58205737745217</v>
      </c>
      <c r="AV37" s="148">
        <f>SUM(AV38:AV42)</f>
        <v>102106.32257800001</v>
      </c>
      <c r="AW37" s="346">
        <f>IFERROR(AV37/AS37-1,0)</f>
        <v>-8.8720497023933031E-3</v>
      </c>
      <c r="AX37" s="347">
        <f t="shared" ref="AX37:AX51" si="205">IFERROR(AV37/AJ37-1,)</f>
        <v>236.52639965831816</v>
      </c>
      <c r="AY37" s="148">
        <f>SUM(AY38:AY42)</f>
        <v>101597.887848</v>
      </c>
      <c r="AZ37" s="346">
        <f>IFERROR(AY37/AV37-1,0)</f>
        <v>-4.9794637311671996E-3</v>
      </c>
      <c r="BA37" s="347">
        <f t="shared" ref="BA37:BA51" si="206">IFERROR(AY37/AM37-1,)</f>
        <v>229.45378431705396</v>
      </c>
      <c r="BB37" s="148">
        <f>SUM(BB38:BB42)</f>
        <v>65632.025836999994</v>
      </c>
      <c r="BC37" s="346">
        <f>IFERROR(BB37/AY37-1,0)</f>
        <v>-0.35400206414535229</v>
      </c>
      <c r="BD37" s="348">
        <f t="shared" ref="BD37:BD51" si="207">IFERROR(BB37/AP37-1,)</f>
        <v>0.83116204662086624</v>
      </c>
      <c r="BE37" s="615">
        <f>SUM(BE38:BE42)</f>
        <v>65129.395657000001</v>
      </c>
      <c r="BF37" s="346">
        <f>IFERROR(BE37/BB37-1,0)</f>
        <v>-7.6583066512116993E-3</v>
      </c>
      <c r="BG37" s="347">
        <f t="shared" si="201"/>
        <v>-0.36780051624782883</v>
      </c>
      <c r="BH37" s="616">
        <f>SUM(BH38:BH42)</f>
        <v>64714.066880999999</v>
      </c>
      <c r="BI37" s="346">
        <f>IFERROR(BH37/BE37-1,0)</f>
        <v>-6.3769788098035907E-3</v>
      </c>
      <c r="BJ37" s="347">
        <f t="shared" si="1"/>
        <v>-0.36620901382904769</v>
      </c>
      <c r="BK37" s="616">
        <f>SUM(BK38:BK42)</f>
        <v>63645.798244999998</v>
      </c>
      <c r="BL37" s="346">
        <f>IFERROR(BK37/BH37-1,0)</f>
        <v>-1.6507518187110604E-2</v>
      </c>
      <c r="BM37" s="347">
        <f t="shared" si="2"/>
        <v>-0.37355195473925495</v>
      </c>
      <c r="BN37" s="616">
        <f>SUM(BN38:BN42)</f>
        <v>62696.135452999995</v>
      </c>
      <c r="BO37" s="346">
        <f>IFERROR(BN37/BK37-1,0)</f>
        <v>-1.4921060277134801E-2</v>
      </c>
      <c r="BP37" s="348">
        <f t="shared" si="3"/>
        <v>-4.4732588192407885E-2</v>
      </c>
      <c r="BQ37" s="615">
        <f>SUM(BQ38:BQ42)</f>
        <v>584.69604100000004</v>
      </c>
      <c r="BR37" s="346">
        <f>IFERROR(BQ37/BN37-1,0)</f>
        <v>-0.99067412948540801</v>
      </c>
      <c r="BS37" s="347">
        <f t="shared" si="25"/>
        <v>-0.99102254772822906</v>
      </c>
      <c r="BT37" s="616">
        <f>SUM(BT38:BT42)</f>
        <v>542.88336500000003</v>
      </c>
      <c r="BU37" s="346">
        <f>IFERROR(BT37/BQ37-1,0)</f>
        <v>-7.1511816513223136E-2</v>
      </c>
      <c r="BV37" s="347">
        <f t="shared" si="26"/>
        <v>-0.99161104546252232</v>
      </c>
      <c r="BW37" s="616">
        <f>SUM(BW38:BW42)</f>
        <v>528.95108600000003</v>
      </c>
      <c r="BX37" s="346">
        <f>IFERROR(BW37/BT37-1,0)</f>
        <v>-2.5663484826063843E-2</v>
      </c>
      <c r="BY37" s="347">
        <f t="shared" si="27"/>
        <v>-0.99168914365778182</v>
      </c>
      <c r="BZ37" s="616">
        <f>SUM(BZ38:BZ42)</f>
        <v>26831.242768</v>
      </c>
      <c r="CA37" s="346">
        <f>IFERROR(BZ37/BW37-1,0)</f>
        <v>49.725376085152796</v>
      </c>
      <c r="CB37" s="348">
        <f t="shared" si="28"/>
        <v>-0.57204311598895963</v>
      </c>
      <c r="CC37" s="615">
        <f>SUM(CC38:CC42)</f>
        <v>93780</v>
      </c>
      <c r="CD37" s="346">
        <f>IFERROR(CC37/BZ37-1,0)</f>
        <v>2.495179139143183</v>
      </c>
      <c r="CE37" s="347">
        <f t="shared" si="203"/>
        <v>159.39102956744665</v>
      </c>
      <c r="CF37" s="616">
        <f>SUM(CF38:CF42)</f>
        <v>84717.667870000005</v>
      </c>
      <c r="CG37" s="346">
        <f t="shared" si="30"/>
        <v>-9.6633953188313026E-2</v>
      </c>
      <c r="CH37" s="347">
        <f t="shared" si="31"/>
        <v>-0.17029949046217618</v>
      </c>
      <c r="CI37" s="616">
        <f>SUM(CI38:CI42)</f>
        <v>91198.810665000012</v>
      </c>
      <c r="CJ37" s="346">
        <f t="shared" si="32"/>
        <v>7.650284713863198E-2</v>
      </c>
      <c r="CK37" s="347">
        <f t="shared" si="33"/>
        <v>-0.10235524973273047</v>
      </c>
      <c r="CL37" s="616"/>
      <c r="CM37" s="346">
        <f t="shared" si="34"/>
        <v>-1</v>
      </c>
      <c r="CN37" s="348">
        <f t="shared" si="35"/>
        <v>-1</v>
      </c>
      <c r="CO37" s="21"/>
    </row>
    <row r="38" spans="1:93" ht="16.2" customHeight="1" x14ac:dyDescent="0.4">
      <c r="A38" s="156">
        <f t="shared" si="4"/>
        <v>37</v>
      </c>
      <c r="B38" s="32"/>
      <c r="C38" s="33" t="s">
        <v>149</v>
      </c>
      <c r="D38" s="34" t="s">
        <v>279</v>
      </c>
      <c r="E38" s="767">
        <v>11400</v>
      </c>
      <c r="F38" s="768">
        <v>10800</v>
      </c>
      <c r="G38" s="768">
        <v>10200</v>
      </c>
      <c r="H38" s="768">
        <v>9600</v>
      </c>
      <c r="I38" s="777">
        <v>9000</v>
      </c>
      <c r="J38" s="349">
        <f t="shared" si="5"/>
        <v>-6.25E-2</v>
      </c>
      <c r="K38" s="350">
        <f t="shared" si="6"/>
        <v>-0.21052631578947367</v>
      </c>
      <c r="L38" s="147">
        <v>8400</v>
      </c>
      <c r="M38" s="349">
        <f t="shared" si="7"/>
        <v>-6.6666666666666652E-2</v>
      </c>
      <c r="N38" s="350">
        <f t="shared" si="8"/>
        <v>-0.22222222222222221</v>
      </c>
      <c r="O38" s="147">
        <v>0</v>
      </c>
      <c r="P38" s="349">
        <f t="shared" si="9"/>
        <v>-1</v>
      </c>
      <c r="Q38" s="350">
        <f t="shared" si="10"/>
        <v>-1</v>
      </c>
      <c r="R38" s="147">
        <v>0</v>
      </c>
      <c r="S38" s="349">
        <f t="shared" si="11"/>
        <v>0</v>
      </c>
      <c r="T38" s="351">
        <f t="shared" si="12"/>
        <v>-1</v>
      </c>
      <c r="U38" s="777">
        <v>0</v>
      </c>
      <c r="V38" s="349">
        <f t="shared" ref="V38:V42" si="208">(IFERROR(U38/R38-1,0))</f>
        <v>0</v>
      </c>
      <c r="W38" s="350">
        <f t="shared" si="13"/>
        <v>-1</v>
      </c>
      <c r="X38" s="147">
        <v>0</v>
      </c>
      <c r="Y38" s="349">
        <f t="shared" ref="Y38:Y42" si="209">(IFERROR(X38/U38-1,0))</f>
        <v>0</v>
      </c>
      <c r="Z38" s="350">
        <f t="shared" si="14"/>
        <v>-1</v>
      </c>
      <c r="AA38" s="147">
        <v>0</v>
      </c>
      <c r="AB38" s="349">
        <f t="shared" ref="AB38:AB42" si="210">(IFERROR(AA38/X38-1,0))</f>
        <v>0</v>
      </c>
      <c r="AC38" s="350">
        <f t="shared" si="15"/>
        <v>0</v>
      </c>
      <c r="AD38" s="147">
        <v>0</v>
      </c>
      <c r="AE38" s="349">
        <f t="shared" ref="AE38:AE42" si="211">(IFERROR(AD38/AA38-1,0))</f>
        <v>0</v>
      </c>
      <c r="AF38" s="351">
        <f t="shared" si="16"/>
        <v>0</v>
      </c>
      <c r="AG38" s="777">
        <v>0</v>
      </c>
      <c r="AH38" s="349">
        <f t="shared" ref="AH38:AH42" si="212">(IFERROR(AG38/AD38-1,0))</f>
        <v>0</v>
      </c>
      <c r="AI38" s="350">
        <f t="shared" si="17"/>
        <v>0</v>
      </c>
      <c r="AJ38" s="147">
        <v>0</v>
      </c>
      <c r="AK38" s="349">
        <f t="shared" ref="AK38:AK42" si="213">(IFERROR(AJ38/AG38-1,0))</f>
        <v>0</v>
      </c>
      <c r="AL38" s="350">
        <f t="shared" si="18"/>
        <v>0</v>
      </c>
      <c r="AM38" s="147">
        <v>0</v>
      </c>
      <c r="AN38" s="349">
        <f t="shared" ref="AN38:AN42" si="214">(IFERROR(AM38/AJ38-1,0))</f>
        <v>0</v>
      </c>
      <c r="AO38" s="350">
        <f t="shared" si="19"/>
        <v>0</v>
      </c>
      <c r="AP38" s="147">
        <v>35000</v>
      </c>
      <c r="AQ38" s="349">
        <f t="shared" ref="AQ38:AQ42" si="215">(IFERROR(AP38/AM38-1,0))</f>
        <v>0</v>
      </c>
      <c r="AR38" s="351">
        <f t="shared" si="20"/>
        <v>0</v>
      </c>
      <c r="AS38" s="777">
        <v>101200</v>
      </c>
      <c r="AT38" s="349">
        <f t="shared" ref="AT38:AT42" si="216">(IFERROR(AS38/AP38-1,0))</f>
        <v>1.8914285714285715</v>
      </c>
      <c r="AU38" s="350">
        <f t="shared" si="204"/>
        <v>0</v>
      </c>
      <c r="AV38" s="147">
        <v>100600</v>
      </c>
      <c r="AW38" s="349">
        <f t="shared" ref="AW38:AW42" si="217">(IFERROR(AV38/AS38-1,0))</f>
        <v>-5.9288537549406772E-3</v>
      </c>
      <c r="AX38" s="350">
        <f t="shared" si="205"/>
        <v>0</v>
      </c>
      <c r="AY38" s="147">
        <v>100000</v>
      </c>
      <c r="AZ38" s="349">
        <f t="shared" ref="AZ38:AZ42" si="218">(IFERROR(AY38/AV38-1,0))</f>
        <v>-5.9642147117295874E-3</v>
      </c>
      <c r="BA38" s="350">
        <f t="shared" si="206"/>
        <v>0</v>
      </c>
      <c r="BB38" s="147">
        <v>64400</v>
      </c>
      <c r="BC38" s="349">
        <f t="shared" ref="BC38:BC42" si="219">(IFERROR(BB38/AY38-1,0))</f>
        <v>-0.35599999999999998</v>
      </c>
      <c r="BD38" s="351">
        <f t="shared" si="207"/>
        <v>0.84000000000000008</v>
      </c>
      <c r="BE38" s="617">
        <v>63800</v>
      </c>
      <c r="BF38" s="349">
        <f>(IFERROR(BE38/BB38-1,0))</f>
        <v>-9.3167701863353658E-3</v>
      </c>
      <c r="BG38" s="350">
        <f t="shared" si="201"/>
        <v>-0.36956521739130432</v>
      </c>
      <c r="BH38" s="618">
        <v>63200</v>
      </c>
      <c r="BI38" s="349">
        <f t="shared" ref="BI38:BI42" si="220">(IFERROR(BH38/BE38-1,0))</f>
        <v>-9.4043887147335914E-3</v>
      </c>
      <c r="BJ38" s="350">
        <f t="shared" si="1"/>
        <v>-0.37176938369781309</v>
      </c>
      <c r="BK38" s="618">
        <v>62600</v>
      </c>
      <c r="BL38" s="349">
        <f t="shared" ref="BL38:BL42" si="221">(IFERROR(BK38/BH38-1,0))</f>
        <v>-9.493670886076E-3</v>
      </c>
      <c r="BM38" s="350">
        <f t="shared" si="2"/>
        <v>-0.374</v>
      </c>
      <c r="BN38" s="618">
        <v>62000</v>
      </c>
      <c r="BO38" s="349">
        <f t="shared" ref="BO38:BO42" si="222">(IFERROR(BN38/BK38-1,0))</f>
        <v>-9.5846645367412275E-3</v>
      </c>
      <c r="BP38" s="351">
        <f t="shared" si="3"/>
        <v>-3.7267080745341574E-2</v>
      </c>
      <c r="BQ38" s="617">
        <v>0</v>
      </c>
      <c r="BR38" s="349">
        <f t="shared" ref="BR38:BR42" si="223">(IFERROR(BQ38/BN38-1,0))</f>
        <v>-1</v>
      </c>
      <c r="BS38" s="350">
        <f t="shared" si="25"/>
        <v>-1</v>
      </c>
      <c r="BT38" s="618">
        <v>0</v>
      </c>
      <c r="BU38" s="349">
        <f t="shared" ref="BU38:BU42" si="224">(IFERROR(BT38/BQ38-1,0))</f>
        <v>0</v>
      </c>
      <c r="BV38" s="350">
        <f t="shared" si="26"/>
        <v>-1</v>
      </c>
      <c r="BW38" s="618">
        <v>0</v>
      </c>
      <c r="BX38" s="349">
        <f t="shared" ref="BX38:BX42" si="225">(IFERROR(BW38/BT38-1,0))</f>
        <v>0</v>
      </c>
      <c r="BY38" s="350">
        <f t="shared" si="27"/>
        <v>-1</v>
      </c>
      <c r="BZ38" s="618">
        <v>11512.1168</v>
      </c>
      <c r="CA38" s="349">
        <f t="shared" ref="CA38:CA42" si="226">(IFERROR(BZ38/BW38-1,0))</f>
        <v>0</v>
      </c>
      <c r="CB38" s="351">
        <f t="shared" si="28"/>
        <v>-0.81432069677419361</v>
      </c>
      <c r="CC38" s="617">
        <v>78356</v>
      </c>
      <c r="CD38" s="349">
        <f t="shared" ref="CD38:CD42" si="227">(IFERROR(CC38/BZ38-1,0))</f>
        <v>5.8063937641772361</v>
      </c>
      <c r="CE38" s="350">
        <f t="shared" si="203"/>
        <v>0</v>
      </c>
      <c r="CF38" s="618">
        <v>78280.675199999998</v>
      </c>
      <c r="CG38" s="349">
        <f t="shared" si="30"/>
        <v>-9.6131502373786315E-4</v>
      </c>
      <c r="CH38" s="350">
        <f t="shared" si="31"/>
        <v>-0.22186207554671966</v>
      </c>
      <c r="CI38" s="618">
        <v>83324.233600000007</v>
      </c>
      <c r="CJ38" s="349">
        <f t="shared" si="32"/>
        <v>6.4429163227248232E-2</v>
      </c>
      <c r="CK38" s="350">
        <f t="shared" si="33"/>
        <v>-0.16675766399999992</v>
      </c>
      <c r="CL38" s="618"/>
      <c r="CM38" s="349">
        <f t="shared" si="34"/>
        <v>-1</v>
      </c>
      <c r="CN38" s="351">
        <f t="shared" si="35"/>
        <v>-1</v>
      </c>
    </row>
    <row r="39" spans="1:93" ht="16.2" customHeight="1" x14ac:dyDescent="0.4">
      <c r="A39" s="156">
        <f t="shared" si="4"/>
        <v>38</v>
      </c>
      <c r="B39" s="32"/>
      <c r="C39" s="33" t="s">
        <v>150</v>
      </c>
      <c r="D39" s="34" t="s">
        <v>224</v>
      </c>
      <c r="E39" s="767">
        <v>188</v>
      </c>
      <c r="F39" s="768">
        <v>208</v>
      </c>
      <c r="G39" s="768">
        <v>208</v>
      </c>
      <c r="H39" s="768">
        <v>208</v>
      </c>
      <c r="I39" s="777">
        <v>208</v>
      </c>
      <c r="J39" s="349">
        <f t="shared" si="5"/>
        <v>0</v>
      </c>
      <c r="K39" s="350">
        <f t="shared" si="6"/>
        <v>0.1063829787234043</v>
      </c>
      <c r="L39" s="147">
        <v>228</v>
      </c>
      <c r="M39" s="349">
        <f t="shared" si="7"/>
        <v>9.6153846153846256E-2</v>
      </c>
      <c r="N39" s="350">
        <f t="shared" si="8"/>
        <v>9.6153846153846256E-2</v>
      </c>
      <c r="O39" s="147">
        <v>168</v>
      </c>
      <c r="P39" s="349">
        <f t="shared" si="9"/>
        <v>-0.26315789473684215</v>
      </c>
      <c r="Q39" s="350">
        <f t="shared" si="10"/>
        <v>-0.19230769230769229</v>
      </c>
      <c r="R39" s="147">
        <v>148</v>
      </c>
      <c r="S39" s="349">
        <f t="shared" si="11"/>
        <v>-0.11904761904761907</v>
      </c>
      <c r="T39" s="351">
        <f t="shared" si="12"/>
        <v>-0.28846153846153844</v>
      </c>
      <c r="U39" s="777">
        <v>148</v>
      </c>
      <c r="V39" s="349">
        <f t="shared" si="208"/>
        <v>0</v>
      </c>
      <c r="W39" s="350">
        <f t="shared" si="13"/>
        <v>-0.28846153846153844</v>
      </c>
      <c r="X39" s="147">
        <v>148</v>
      </c>
      <c r="Y39" s="349">
        <f t="shared" si="209"/>
        <v>0</v>
      </c>
      <c r="Z39" s="350">
        <f t="shared" si="14"/>
        <v>-0.35087719298245612</v>
      </c>
      <c r="AA39" s="147">
        <v>148</v>
      </c>
      <c r="AB39" s="349">
        <f t="shared" si="210"/>
        <v>0</v>
      </c>
      <c r="AC39" s="350">
        <f t="shared" si="15"/>
        <v>-0.11904761904761907</v>
      </c>
      <c r="AD39" s="147">
        <v>148</v>
      </c>
      <c r="AE39" s="349">
        <f t="shared" si="211"/>
        <v>0</v>
      </c>
      <c r="AF39" s="351">
        <f t="shared" si="16"/>
        <v>0</v>
      </c>
      <c r="AG39" s="777">
        <v>148</v>
      </c>
      <c r="AH39" s="349">
        <f t="shared" si="212"/>
        <v>0</v>
      </c>
      <c r="AI39" s="350">
        <f t="shared" si="17"/>
        <v>0</v>
      </c>
      <c r="AJ39" s="147">
        <v>148</v>
      </c>
      <c r="AK39" s="349">
        <f t="shared" si="213"/>
        <v>0</v>
      </c>
      <c r="AL39" s="350">
        <f t="shared" si="18"/>
        <v>0</v>
      </c>
      <c r="AM39" s="147">
        <v>178</v>
      </c>
      <c r="AN39" s="349">
        <f t="shared" si="214"/>
        <v>0.20270270270270263</v>
      </c>
      <c r="AO39" s="350">
        <f t="shared" si="19"/>
        <v>0.20270270270270263</v>
      </c>
      <c r="AP39" s="147">
        <v>178</v>
      </c>
      <c r="AQ39" s="349">
        <f t="shared" si="215"/>
        <v>0</v>
      </c>
      <c r="AR39" s="351">
        <f t="shared" si="20"/>
        <v>0.20270270270270263</v>
      </c>
      <c r="AS39" s="777">
        <v>1253.3613</v>
      </c>
      <c r="AT39" s="349">
        <f t="shared" si="216"/>
        <v>6.0413556179775281</v>
      </c>
      <c r="AU39" s="350">
        <f t="shared" si="204"/>
        <v>7.4686574324324333</v>
      </c>
      <c r="AV39" s="147">
        <v>853.13400000000001</v>
      </c>
      <c r="AW39" s="349">
        <f t="shared" si="217"/>
        <v>-0.31932316723039078</v>
      </c>
      <c r="AX39" s="350">
        <f t="shared" si="205"/>
        <v>4.7644189189189188</v>
      </c>
      <c r="AY39" s="147">
        <v>745.71199999999999</v>
      </c>
      <c r="AZ39" s="349">
        <f t="shared" si="218"/>
        <v>-0.12591456910637722</v>
      </c>
      <c r="BA39" s="350">
        <f t="shared" si="206"/>
        <v>3.189393258426966</v>
      </c>
      <c r="BB39" s="147">
        <v>690.71199999999999</v>
      </c>
      <c r="BC39" s="349">
        <f t="shared" si="219"/>
        <v>-7.3755015341043229E-2</v>
      </c>
      <c r="BD39" s="351">
        <f t="shared" si="207"/>
        <v>2.8804044943820224</v>
      </c>
      <c r="BE39" s="617">
        <v>775.71199999999999</v>
      </c>
      <c r="BF39" s="349">
        <f>(IFERROR(BE39/BB39-1,0))</f>
        <v>0.12306142067895154</v>
      </c>
      <c r="BG39" s="350">
        <f t="shared" si="201"/>
        <v>-0.38109466121221391</v>
      </c>
      <c r="BH39" s="618">
        <v>805.71199999999999</v>
      </c>
      <c r="BI39" s="349">
        <f t="shared" si="220"/>
        <v>3.8674147106142476E-2</v>
      </c>
      <c r="BJ39" s="350">
        <f t="shared" si="1"/>
        <v>-5.5585640708259221E-2</v>
      </c>
      <c r="BK39" s="618">
        <v>422.42200000000003</v>
      </c>
      <c r="BL39" s="349">
        <f t="shared" si="221"/>
        <v>-0.47571588855571223</v>
      </c>
      <c r="BM39" s="350">
        <f t="shared" si="2"/>
        <v>-0.43353198017465189</v>
      </c>
      <c r="BN39" s="618">
        <v>207.422</v>
      </c>
      <c r="BO39" s="349">
        <f t="shared" si="222"/>
        <v>-0.50896970328249957</v>
      </c>
      <c r="BP39" s="351">
        <f t="shared" si="3"/>
        <v>-0.69969828235212361</v>
      </c>
      <c r="BQ39" s="617">
        <v>232.422</v>
      </c>
      <c r="BR39" s="349">
        <f t="shared" si="223"/>
        <v>0.12052723433387014</v>
      </c>
      <c r="BS39" s="350">
        <f t="shared" si="25"/>
        <v>-0.70037591270987165</v>
      </c>
      <c r="BT39" s="618">
        <v>232.422</v>
      </c>
      <c r="BU39" s="349">
        <f t="shared" si="224"/>
        <v>0</v>
      </c>
      <c r="BV39" s="350">
        <f t="shared" si="26"/>
        <v>-0.71153216037492306</v>
      </c>
      <c r="BW39" s="618">
        <v>232.422</v>
      </c>
      <c r="BX39" s="349">
        <f t="shared" si="225"/>
        <v>0</v>
      </c>
      <c r="BY39" s="350">
        <f t="shared" si="27"/>
        <v>-0.44978717964499959</v>
      </c>
      <c r="BZ39" s="618">
        <v>125</v>
      </c>
      <c r="CA39" s="349">
        <f t="shared" si="226"/>
        <v>-0.46218516319453407</v>
      </c>
      <c r="CB39" s="351">
        <f t="shared" si="28"/>
        <v>-0.39736382833064954</v>
      </c>
      <c r="CC39" s="617">
        <v>317</v>
      </c>
      <c r="CD39" s="349">
        <f t="shared" si="227"/>
        <v>1.536</v>
      </c>
      <c r="CE39" s="350">
        <f t="shared" si="203"/>
        <v>0.36389842613866152</v>
      </c>
      <c r="CF39" s="618">
        <v>100</v>
      </c>
      <c r="CG39" s="349">
        <f t="shared" si="30"/>
        <v>-0.68454258675078861</v>
      </c>
      <c r="CH39" s="350">
        <f t="shared" si="31"/>
        <v>-0.88278511933646997</v>
      </c>
      <c r="CI39" s="618">
        <v>100</v>
      </c>
      <c r="CJ39" s="349">
        <f t="shared" si="32"/>
        <v>0</v>
      </c>
      <c r="CK39" s="350">
        <f t="shared" si="33"/>
        <v>-0.86589997210719416</v>
      </c>
      <c r="CL39" s="618"/>
      <c r="CM39" s="349">
        <f t="shared" si="34"/>
        <v>-1</v>
      </c>
      <c r="CN39" s="351">
        <f t="shared" si="35"/>
        <v>-1</v>
      </c>
    </row>
    <row r="40" spans="1:93" ht="16.2" customHeight="1" x14ac:dyDescent="0.4">
      <c r="A40" s="156">
        <f t="shared" si="4"/>
        <v>39</v>
      </c>
      <c r="B40" s="32"/>
      <c r="C40" s="33" t="s">
        <v>151</v>
      </c>
      <c r="D40" s="34" t="s">
        <v>281</v>
      </c>
      <c r="E40" s="767"/>
      <c r="F40" s="768"/>
      <c r="G40" s="768"/>
      <c r="H40" s="768"/>
      <c r="I40" s="777">
        <v>212.076278</v>
      </c>
      <c r="J40" s="349">
        <f t="shared" si="5"/>
        <v>0</v>
      </c>
      <c r="K40" s="350">
        <f t="shared" si="6"/>
        <v>0</v>
      </c>
      <c r="L40" s="147">
        <v>53.769731</v>
      </c>
      <c r="M40" s="349">
        <f t="shared" si="7"/>
        <v>-0.74646041741641656</v>
      </c>
      <c r="N40" s="350">
        <f t="shared" si="8"/>
        <v>0</v>
      </c>
      <c r="O40" s="147">
        <v>30.651153000000001</v>
      </c>
      <c r="P40" s="349">
        <f t="shared" si="9"/>
        <v>-0.4299552474978906</v>
      </c>
      <c r="Q40" s="350">
        <f t="shared" si="10"/>
        <v>0</v>
      </c>
      <c r="R40" s="147">
        <v>79.135993999999997</v>
      </c>
      <c r="S40" s="349">
        <f t="shared" si="11"/>
        <v>1.5818276395670985</v>
      </c>
      <c r="T40" s="351">
        <f t="shared" si="12"/>
        <v>0</v>
      </c>
      <c r="U40" s="777">
        <v>63.767054999999999</v>
      </c>
      <c r="V40" s="349">
        <f t="shared" si="208"/>
        <v>-0.19420921155043558</v>
      </c>
      <c r="W40" s="350">
        <f t="shared" si="13"/>
        <v>-0.69932018987998279</v>
      </c>
      <c r="X40" s="147">
        <v>41.014048000000003</v>
      </c>
      <c r="Y40" s="349">
        <f t="shared" si="209"/>
        <v>-0.35681445536413747</v>
      </c>
      <c r="Z40" s="350">
        <f t="shared" si="14"/>
        <v>-0.23722794893654942</v>
      </c>
      <c r="AA40" s="147">
        <v>65.927805000000006</v>
      </c>
      <c r="AB40" s="349">
        <f t="shared" si="210"/>
        <v>0.60744447853574468</v>
      </c>
      <c r="AC40" s="350">
        <f t="shared" si="15"/>
        <v>1.1509078304493148</v>
      </c>
      <c r="AD40" s="147">
        <v>171.55417399999999</v>
      </c>
      <c r="AE40" s="349">
        <f t="shared" si="211"/>
        <v>1.6021520661881579</v>
      </c>
      <c r="AF40" s="351">
        <f t="shared" si="16"/>
        <v>1.1678400096926818</v>
      </c>
      <c r="AG40" s="777">
        <v>319.03854899999999</v>
      </c>
      <c r="AH40" s="349">
        <f t="shared" si="212"/>
        <v>0.85969563760075007</v>
      </c>
      <c r="AI40" s="350">
        <f t="shared" si="17"/>
        <v>4.0031877589454306</v>
      </c>
      <c r="AJ40" s="147">
        <v>281.87357500000002</v>
      </c>
      <c r="AK40" s="349">
        <f t="shared" si="213"/>
        <v>-0.11649054359258626</v>
      </c>
      <c r="AL40" s="350">
        <f t="shared" si="18"/>
        <v>5.8726104528867769</v>
      </c>
      <c r="AM40" s="147">
        <v>262.860141</v>
      </c>
      <c r="AN40" s="349">
        <f t="shared" si="214"/>
        <v>-6.7453765398193255E-2</v>
      </c>
      <c r="AO40" s="350">
        <f t="shared" si="19"/>
        <v>2.9870907426691966</v>
      </c>
      <c r="AP40" s="147">
        <v>291.45045699999997</v>
      </c>
      <c r="AQ40" s="349">
        <f t="shared" si="215"/>
        <v>0.10876626593607419</v>
      </c>
      <c r="AR40" s="351">
        <f t="shared" si="20"/>
        <v>0.69888292546003572</v>
      </c>
      <c r="AS40" s="777">
        <v>191.29386099999999</v>
      </c>
      <c r="AT40" s="349">
        <f t="shared" si="216"/>
        <v>-0.34364878693602452</v>
      </c>
      <c r="AU40" s="350">
        <f t="shared" si="204"/>
        <v>-0.40040518113063506</v>
      </c>
      <c r="AV40" s="147">
        <v>270.784988</v>
      </c>
      <c r="AW40" s="349">
        <f t="shared" si="217"/>
        <v>0.41554457934225097</v>
      </c>
      <c r="AX40" s="350">
        <f t="shared" si="205"/>
        <v>-3.9338866724204391E-2</v>
      </c>
      <c r="AY40" s="147">
        <v>457.16446100000002</v>
      </c>
      <c r="AZ40" s="349">
        <f t="shared" si="218"/>
        <v>0.68829322621090072</v>
      </c>
      <c r="BA40" s="350">
        <f t="shared" si="206"/>
        <v>0.73919278617445472</v>
      </c>
      <c r="BB40" s="147">
        <v>541.31383700000004</v>
      </c>
      <c r="BC40" s="349">
        <f t="shared" si="219"/>
        <v>0.18406806123103259</v>
      </c>
      <c r="BD40" s="351">
        <f t="shared" si="207"/>
        <v>0.85730996126041448</v>
      </c>
      <c r="BE40" s="617">
        <v>553.68365700000004</v>
      </c>
      <c r="BF40" s="349">
        <f>(IFERROR(BE40/BB40-1,0))</f>
        <v>2.2851475714263048E-2</v>
      </c>
      <c r="BG40" s="350">
        <f t="shared" si="201"/>
        <v>1.8944141443200837</v>
      </c>
      <c r="BH40" s="618">
        <v>708.35488099999998</v>
      </c>
      <c r="BI40" s="349">
        <f t="shared" si="220"/>
        <v>0.27934944809107831</v>
      </c>
      <c r="BJ40" s="350">
        <f t="shared" si="1"/>
        <v>1.6159311350007335</v>
      </c>
      <c r="BK40" s="618">
        <v>623.37624500000004</v>
      </c>
      <c r="BL40" s="349">
        <f t="shared" si="221"/>
        <v>-0.11996618965910666</v>
      </c>
      <c r="BM40" s="350">
        <f t="shared" si="2"/>
        <v>0.36357109569809709</v>
      </c>
      <c r="BN40" s="618">
        <v>488.71345300000002</v>
      </c>
      <c r="BO40" s="349">
        <f t="shared" si="222"/>
        <v>-0.21602169328733412</v>
      </c>
      <c r="BP40" s="351">
        <f t="shared" si="3"/>
        <v>-9.7171696721286671E-2</v>
      </c>
      <c r="BQ40" s="617">
        <v>352.27404100000001</v>
      </c>
      <c r="BR40" s="349">
        <f t="shared" si="223"/>
        <v>-0.27918079840540011</v>
      </c>
      <c r="BS40" s="350">
        <f t="shared" si="25"/>
        <v>-0.36376297810791269</v>
      </c>
      <c r="BT40" s="618">
        <v>310.461365</v>
      </c>
      <c r="BU40" s="349">
        <f t="shared" si="224"/>
        <v>-0.11869360535708617</v>
      </c>
      <c r="BV40" s="350">
        <f t="shared" si="26"/>
        <v>-0.56171493508774173</v>
      </c>
      <c r="BW40" s="618">
        <v>296.52908600000001</v>
      </c>
      <c r="BX40" s="349">
        <f t="shared" si="225"/>
        <v>-4.4876047620289183E-2</v>
      </c>
      <c r="BY40" s="350">
        <f t="shared" si="27"/>
        <v>-0.52431763581238167</v>
      </c>
      <c r="BZ40" s="618">
        <v>247.87149600000001</v>
      </c>
      <c r="CA40" s="349">
        <f t="shared" si="226"/>
        <v>-0.16409044608865109</v>
      </c>
      <c r="CB40" s="351">
        <f t="shared" si="28"/>
        <v>-0.49280811797092072</v>
      </c>
      <c r="CC40" s="617">
        <v>161</v>
      </c>
      <c r="CD40" s="349">
        <f t="shared" si="227"/>
        <v>-0.35046989025313346</v>
      </c>
      <c r="CE40" s="350">
        <f t="shared" si="203"/>
        <v>-0.5429694463351048</v>
      </c>
      <c r="CF40" s="618">
        <v>99.020157999999995</v>
      </c>
      <c r="CG40" s="349">
        <f t="shared" si="30"/>
        <v>-0.38496796273291933</v>
      </c>
      <c r="CH40" s="350">
        <f t="shared" si="31"/>
        <v>-0.63432183323249813</v>
      </c>
      <c r="CI40" s="618">
        <v>70.250800999999996</v>
      </c>
      <c r="CJ40" s="349">
        <f t="shared" si="32"/>
        <v>-0.29054040693411132</v>
      </c>
      <c r="CK40" s="350">
        <f t="shared" si="33"/>
        <v>-0.84633363484481361</v>
      </c>
      <c r="CL40" s="618"/>
      <c r="CM40" s="349">
        <f t="shared" si="34"/>
        <v>-1</v>
      </c>
      <c r="CN40" s="351">
        <f t="shared" si="35"/>
        <v>-1</v>
      </c>
    </row>
    <row r="41" spans="1:93" ht="16.2" customHeight="1" x14ac:dyDescent="0.4">
      <c r="A41" s="156">
        <f t="shared" si="4"/>
        <v>40</v>
      </c>
      <c r="B41" s="32"/>
      <c r="C41" s="33" t="s">
        <v>270</v>
      </c>
      <c r="D41" s="34" t="s">
        <v>287</v>
      </c>
      <c r="E41" s="767">
        <v>1469.224181</v>
      </c>
      <c r="F41" s="768" t="s">
        <v>126</v>
      </c>
      <c r="G41" s="768" t="s">
        <v>126</v>
      </c>
      <c r="H41" s="768">
        <v>1.204013</v>
      </c>
      <c r="I41" s="777">
        <v>15.162592999999999</v>
      </c>
      <c r="J41" s="349">
        <f t="shared" si="5"/>
        <v>11.593379805699772</v>
      </c>
      <c r="K41" s="350">
        <f t="shared" si="6"/>
        <v>-0.98967986424666665</v>
      </c>
      <c r="L41" s="147">
        <v>31.966996000000002</v>
      </c>
      <c r="M41" s="349">
        <f t="shared" si="7"/>
        <v>1.108280292163748</v>
      </c>
      <c r="N41" s="350">
        <f t="shared" si="8"/>
        <v>0</v>
      </c>
      <c r="O41" s="147">
        <v>42.181499000000002</v>
      </c>
      <c r="P41" s="349">
        <f t="shared" si="9"/>
        <v>0.31953277686774206</v>
      </c>
      <c r="Q41" s="350">
        <f t="shared" si="10"/>
        <v>0</v>
      </c>
      <c r="R41" s="147">
        <v>26.711622999999999</v>
      </c>
      <c r="S41" s="349">
        <f t="shared" si="11"/>
        <v>-0.36674552509383329</v>
      </c>
      <c r="T41" s="351">
        <f t="shared" si="12"/>
        <v>21.185493844335568</v>
      </c>
      <c r="U41" s="777">
        <v>34.833668000000003</v>
      </c>
      <c r="V41" s="349">
        <f t="shared" si="208"/>
        <v>0.304064077274526</v>
      </c>
      <c r="W41" s="350">
        <f t="shared" si="13"/>
        <v>1.2973424136623599</v>
      </c>
      <c r="X41" s="147">
        <v>21.828999</v>
      </c>
      <c r="Y41" s="349">
        <f t="shared" si="209"/>
        <v>-0.37333619301877718</v>
      </c>
      <c r="Z41" s="350">
        <f t="shared" si="14"/>
        <v>-0.31713949599768465</v>
      </c>
      <c r="AA41" s="147">
        <v>0</v>
      </c>
      <c r="AB41" s="349">
        <f t="shared" si="210"/>
        <v>-1</v>
      </c>
      <c r="AC41" s="350">
        <f t="shared" si="15"/>
        <v>-1</v>
      </c>
      <c r="AD41" s="147">
        <v>0</v>
      </c>
      <c r="AE41" s="349">
        <f t="shared" si="211"/>
        <v>0</v>
      </c>
      <c r="AF41" s="351">
        <f t="shared" si="16"/>
        <v>-1</v>
      </c>
      <c r="AG41" s="777">
        <v>0</v>
      </c>
      <c r="AH41" s="349">
        <f t="shared" si="212"/>
        <v>0</v>
      </c>
      <c r="AI41" s="350">
        <f t="shared" si="17"/>
        <v>-1</v>
      </c>
      <c r="AJ41" s="147">
        <v>0</v>
      </c>
      <c r="AK41" s="349">
        <f t="shared" si="213"/>
        <v>0</v>
      </c>
      <c r="AL41" s="350">
        <f t="shared" si="18"/>
        <v>-1</v>
      </c>
      <c r="AM41" s="147">
        <v>0</v>
      </c>
      <c r="AN41" s="349">
        <f t="shared" si="214"/>
        <v>0</v>
      </c>
      <c r="AO41" s="350">
        <f t="shared" si="19"/>
        <v>0</v>
      </c>
      <c r="AP41" s="147">
        <v>0</v>
      </c>
      <c r="AQ41" s="349">
        <f t="shared" si="215"/>
        <v>0</v>
      </c>
      <c r="AR41" s="351">
        <f t="shared" si="20"/>
        <v>0</v>
      </c>
      <c r="AS41" s="777">
        <v>0</v>
      </c>
      <c r="AT41" s="349">
        <f t="shared" si="216"/>
        <v>0</v>
      </c>
      <c r="AU41" s="350">
        <f t="shared" si="204"/>
        <v>0</v>
      </c>
      <c r="AV41" s="147">
        <v>0</v>
      </c>
      <c r="AW41" s="349">
        <f t="shared" si="217"/>
        <v>0</v>
      </c>
      <c r="AX41" s="350">
        <f t="shared" si="205"/>
        <v>0</v>
      </c>
      <c r="AY41" s="147">
        <v>0</v>
      </c>
      <c r="AZ41" s="349">
        <f t="shared" si="218"/>
        <v>0</v>
      </c>
      <c r="BA41" s="350">
        <f t="shared" si="206"/>
        <v>0</v>
      </c>
      <c r="BB41" s="147">
        <v>0</v>
      </c>
      <c r="BC41" s="349">
        <f t="shared" si="219"/>
        <v>0</v>
      </c>
      <c r="BD41" s="351">
        <f t="shared" si="207"/>
        <v>0</v>
      </c>
      <c r="BE41" s="617">
        <v>0</v>
      </c>
      <c r="BF41" s="349">
        <f>(IFERROR(BE41/BB41-1,0))</f>
        <v>0</v>
      </c>
      <c r="BG41" s="350">
        <f t="shared" si="201"/>
        <v>0</v>
      </c>
      <c r="BH41" s="618">
        <v>0</v>
      </c>
      <c r="BI41" s="349">
        <f t="shared" si="220"/>
        <v>0</v>
      </c>
      <c r="BJ41" s="350">
        <f t="shared" si="1"/>
        <v>0</v>
      </c>
      <c r="BK41" s="618">
        <v>0</v>
      </c>
      <c r="BL41" s="349">
        <f t="shared" si="221"/>
        <v>0</v>
      </c>
      <c r="BM41" s="350">
        <f t="shared" si="2"/>
        <v>0</v>
      </c>
      <c r="BN41" s="618">
        <v>0</v>
      </c>
      <c r="BO41" s="349">
        <f t="shared" si="222"/>
        <v>0</v>
      </c>
      <c r="BP41" s="351">
        <f t="shared" si="3"/>
        <v>0</v>
      </c>
      <c r="BQ41" s="617">
        <v>0</v>
      </c>
      <c r="BR41" s="349">
        <f t="shared" si="223"/>
        <v>0</v>
      </c>
      <c r="BS41" s="350">
        <f t="shared" si="25"/>
        <v>0</v>
      </c>
      <c r="BT41" s="618">
        <v>0</v>
      </c>
      <c r="BU41" s="349">
        <f t="shared" si="224"/>
        <v>0</v>
      </c>
      <c r="BV41" s="350">
        <f t="shared" si="26"/>
        <v>0</v>
      </c>
      <c r="BW41" s="618">
        <v>0</v>
      </c>
      <c r="BX41" s="349">
        <f t="shared" si="225"/>
        <v>0</v>
      </c>
      <c r="BY41" s="350">
        <f t="shared" si="27"/>
        <v>0</v>
      </c>
      <c r="BZ41" s="618">
        <v>1169.0989179999999</v>
      </c>
      <c r="CA41" s="349">
        <f t="shared" si="226"/>
        <v>0</v>
      </c>
      <c r="CB41" s="351">
        <f t="shared" si="28"/>
        <v>0</v>
      </c>
      <c r="CC41" s="617">
        <v>1169</v>
      </c>
      <c r="CD41" s="349">
        <f t="shared" si="227"/>
        <v>-8.4610462362855188E-5</v>
      </c>
      <c r="CE41" s="350">
        <f t="shared" si="203"/>
        <v>0</v>
      </c>
      <c r="CF41" s="618">
        <v>0</v>
      </c>
      <c r="CG41" s="349">
        <f t="shared" si="30"/>
        <v>-1</v>
      </c>
      <c r="CH41" s="350">
        <f t="shared" si="31"/>
        <v>0</v>
      </c>
      <c r="CI41" s="618">
        <v>0</v>
      </c>
      <c r="CJ41" s="349">
        <f t="shared" si="32"/>
        <v>0</v>
      </c>
      <c r="CK41" s="350">
        <f t="shared" si="33"/>
        <v>0</v>
      </c>
      <c r="CL41" s="618"/>
      <c r="CM41" s="349">
        <f t="shared" si="34"/>
        <v>0</v>
      </c>
      <c r="CN41" s="351">
        <f t="shared" si="35"/>
        <v>0</v>
      </c>
    </row>
    <row r="42" spans="1:93" ht="16.2" customHeight="1" x14ac:dyDescent="0.4">
      <c r="A42" s="156">
        <f t="shared" si="4"/>
        <v>41</v>
      </c>
      <c r="B42" s="32"/>
      <c r="C42" s="33" t="s">
        <v>152</v>
      </c>
      <c r="D42" s="34" t="s">
        <v>225</v>
      </c>
      <c r="E42" s="767"/>
      <c r="F42" s="768"/>
      <c r="G42" s="768"/>
      <c r="H42" s="768"/>
      <c r="I42" s="777" t="s">
        <v>3</v>
      </c>
      <c r="J42" s="349">
        <f t="shared" si="5"/>
        <v>0</v>
      </c>
      <c r="K42" s="350">
        <f t="shared" si="6"/>
        <v>0</v>
      </c>
      <c r="L42" s="147" t="s">
        <v>3</v>
      </c>
      <c r="M42" s="349">
        <f t="shared" si="7"/>
        <v>0</v>
      </c>
      <c r="N42" s="350">
        <f t="shared" si="8"/>
        <v>0</v>
      </c>
      <c r="O42" s="147" t="s">
        <v>3</v>
      </c>
      <c r="P42" s="349">
        <f t="shared" si="9"/>
        <v>0</v>
      </c>
      <c r="Q42" s="350">
        <f t="shared" si="10"/>
        <v>0</v>
      </c>
      <c r="R42" s="147">
        <v>0</v>
      </c>
      <c r="S42" s="349">
        <f t="shared" si="11"/>
        <v>0</v>
      </c>
      <c r="T42" s="351">
        <f t="shared" si="12"/>
        <v>0</v>
      </c>
      <c r="U42" s="777">
        <v>0</v>
      </c>
      <c r="V42" s="349">
        <f t="shared" si="208"/>
        <v>0</v>
      </c>
      <c r="W42" s="350">
        <f t="shared" si="13"/>
        <v>0</v>
      </c>
      <c r="X42" s="147">
        <v>0</v>
      </c>
      <c r="Y42" s="349">
        <f t="shared" si="209"/>
        <v>0</v>
      </c>
      <c r="Z42" s="350">
        <f t="shared" si="14"/>
        <v>0</v>
      </c>
      <c r="AA42" s="147">
        <v>0</v>
      </c>
      <c r="AB42" s="349">
        <f t="shared" si="210"/>
        <v>0</v>
      </c>
      <c r="AC42" s="350">
        <f t="shared" si="15"/>
        <v>0</v>
      </c>
      <c r="AD42" s="147">
        <v>0</v>
      </c>
      <c r="AE42" s="349">
        <f t="shared" si="211"/>
        <v>0</v>
      </c>
      <c r="AF42" s="351">
        <f t="shared" si="16"/>
        <v>0</v>
      </c>
      <c r="AG42" s="777">
        <v>0</v>
      </c>
      <c r="AH42" s="349">
        <f t="shared" si="212"/>
        <v>0</v>
      </c>
      <c r="AI42" s="350">
        <f t="shared" si="17"/>
        <v>0</v>
      </c>
      <c r="AJ42" s="147">
        <v>0</v>
      </c>
      <c r="AK42" s="349">
        <f t="shared" si="213"/>
        <v>0</v>
      </c>
      <c r="AL42" s="350">
        <f t="shared" si="18"/>
        <v>0</v>
      </c>
      <c r="AM42" s="147">
        <v>0</v>
      </c>
      <c r="AN42" s="349">
        <f t="shared" si="214"/>
        <v>0</v>
      </c>
      <c r="AO42" s="350">
        <f t="shared" si="19"/>
        <v>0</v>
      </c>
      <c r="AP42" s="147">
        <v>372.2851</v>
      </c>
      <c r="AQ42" s="349">
        <f t="shared" si="215"/>
        <v>0</v>
      </c>
      <c r="AR42" s="351">
        <f t="shared" si="20"/>
        <v>0</v>
      </c>
      <c r="AS42" s="777">
        <v>375.66885200000002</v>
      </c>
      <c r="AT42" s="349">
        <f t="shared" si="216"/>
        <v>9.0891416282843362E-3</v>
      </c>
      <c r="AU42" s="350">
        <f t="shared" si="204"/>
        <v>0</v>
      </c>
      <c r="AV42" s="147">
        <v>382.40359000000001</v>
      </c>
      <c r="AW42" s="349">
        <f t="shared" si="217"/>
        <v>1.7927326058962079E-2</v>
      </c>
      <c r="AX42" s="350">
        <f t="shared" si="205"/>
        <v>0</v>
      </c>
      <c r="AY42" s="147">
        <v>395.01138700000001</v>
      </c>
      <c r="AZ42" s="349">
        <f t="shared" si="218"/>
        <v>3.2969870915699362E-2</v>
      </c>
      <c r="BA42" s="350">
        <f t="shared" si="206"/>
        <v>0</v>
      </c>
      <c r="BB42" s="147" t="s">
        <v>3</v>
      </c>
      <c r="BC42" s="349">
        <f t="shared" si="219"/>
        <v>0</v>
      </c>
      <c r="BD42" s="351">
        <f t="shared" si="207"/>
        <v>0</v>
      </c>
      <c r="BE42" s="617">
        <v>0</v>
      </c>
      <c r="BF42" s="349">
        <f>(IFERROR(BE42/BB42-1,0))</f>
        <v>0</v>
      </c>
      <c r="BG42" s="350">
        <f t="shared" si="201"/>
        <v>-1</v>
      </c>
      <c r="BH42" s="618">
        <v>0</v>
      </c>
      <c r="BI42" s="349">
        <f t="shared" si="220"/>
        <v>0</v>
      </c>
      <c r="BJ42" s="350">
        <f t="shared" si="1"/>
        <v>-1</v>
      </c>
      <c r="BK42" s="618">
        <v>0</v>
      </c>
      <c r="BL42" s="349">
        <f t="shared" si="221"/>
        <v>0</v>
      </c>
      <c r="BM42" s="350">
        <f t="shared" si="2"/>
        <v>-1</v>
      </c>
      <c r="BN42" s="618">
        <v>0</v>
      </c>
      <c r="BO42" s="349">
        <f t="shared" si="222"/>
        <v>0</v>
      </c>
      <c r="BP42" s="351">
        <f t="shared" si="3"/>
        <v>0</v>
      </c>
      <c r="BQ42" s="617">
        <v>0</v>
      </c>
      <c r="BR42" s="349">
        <f t="shared" si="223"/>
        <v>0</v>
      </c>
      <c r="BS42" s="350">
        <f t="shared" si="25"/>
        <v>0</v>
      </c>
      <c r="BT42" s="618">
        <v>0</v>
      </c>
      <c r="BU42" s="349">
        <f t="shared" si="224"/>
        <v>0</v>
      </c>
      <c r="BV42" s="350">
        <f t="shared" si="26"/>
        <v>0</v>
      </c>
      <c r="BW42" s="618">
        <v>0</v>
      </c>
      <c r="BX42" s="349">
        <f t="shared" si="225"/>
        <v>0</v>
      </c>
      <c r="BY42" s="350">
        <f t="shared" si="27"/>
        <v>0</v>
      </c>
      <c r="BZ42" s="618">
        <v>13777.155554000001</v>
      </c>
      <c r="CA42" s="349">
        <f t="shared" si="226"/>
        <v>0</v>
      </c>
      <c r="CB42" s="351">
        <f t="shared" si="28"/>
        <v>0</v>
      </c>
      <c r="CC42" s="617">
        <v>13777</v>
      </c>
      <c r="CD42" s="349">
        <f t="shared" si="227"/>
        <v>-1.1290719582168762E-5</v>
      </c>
      <c r="CE42" s="350">
        <f t="shared" si="203"/>
        <v>0</v>
      </c>
      <c r="CF42" s="618">
        <v>6237.9725120000003</v>
      </c>
      <c r="CG42" s="349">
        <f t="shared" si="30"/>
        <v>-0.54721837032735721</v>
      </c>
      <c r="CH42" s="350">
        <f t="shared" si="31"/>
        <v>15.312536480109927</v>
      </c>
      <c r="CI42" s="618">
        <v>7704.3262640000003</v>
      </c>
      <c r="CJ42" s="349">
        <f t="shared" si="32"/>
        <v>0.2350689665879695</v>
      </c>
      <c r="CK42" s="350">
        <f t="shared" si="33"/>
        <v>18.504061193051125</v>
      </c>
      <c r="CL42" s="618"/>
      <c r="CM42" s="349">
        <f t="shared" si="34"/>
        <v>-1</v>
      </c>
      <c r="CN42" s="351">
        <f t="shared" si="35"/>
        <v>0</v>
      </c>
    </row>
    <row r="43" spans="1:93" s="21" customFormat="1" ht="16.2" customHeight="1" x14ac:dyDescent="0.4">
      <c r="A43" s="156">
        <f t="shared" si="4"/>
        <v>42</v>
      </c>
      <c r="B43" s="25" t="s">
        <v>26</v>
      </c>
      <c r="C43" s="26"/>
      <c r="D43" s="27" t="s">
        <v>227</v>
      </c>
      <c r="E43" s="763">
        <f t="shared" ref="E43:O43" si="228">E50+E44</f>
        <v>36571.670379000003</v>
      </c>
      <c r="F43" s="764">
        <f t="shared" si="228"/>
        <v>41954.374255000002</v>
      </c>
      <c r="G43" s="764">
        <f t="shared" si="228"/>
        <v>44799.522691999999</v>
      </c>
      <c r="H43" s="764">
        <f t="shared" si="228"/>
        <v>51043.024111000006</v>
      </c>
      <c r="I43" s="775">
        <f t="shared" si="228"/>
        <v>56085.378000000004</v>
      </c>
      <c r="J43" s="342">
        <f t="shared" si="5"/>
        <v>9.8786346945955117E-2</v>
      </c>
      <c r="K43" s="343">
        <f t="shared" si="6"/>
        <v>0.53357441480728918</v>
      </c>
      <c r="L43" s="344">
        <f t="shared" si="228"/>
        <v>63717.354022</v>
      </c>
      <c r="M43" s="342">
        <f t="shared" si="7"/>
        <v>0.13607782088943021</v>
      </c>
      <c r="N43" s="343">
        <f t="shared" si="8"/>
        <v>0.51872969513795919</v>
      </c>
      <c r="O43" s="344">
        <f t="shared" si="228"/>
        <v>74797.354800999994</v>
      </c>
      <c r="P43" s="342">
        <f t="shared" si="9"/>
        <v>0.17389298330207414</v>
      </c>
      <c r="Q43" s="343">
        <f t="shared" si="10"/>
        <v>0.6696016007857335</v>
      </c>
      <c r="R43" s="344">
        <f>R50+R44</f>
        <v>87916.575572000002</v>
      </c>
      <c r="S43" s="342">
        <f t="shared" si="11"/>
        <v>0.1753968546869602</v>
      </c>
      <c r="T43" s="345">
        <f t="shared" si="12"/>
        <v>0.72240138791176323</v>
      </c>
      <c r="U43" s="775">
        <f>U50+U44</f>
        <v>97003.643599000003</v>
      </c>
      <c r="V43" s="342">
        <f>IFERROR(U43/R43-1,0)</f>
        <v>0.10336012256935634</v>
      </c>
      <c r="W43" s="343">
        <f t="shared" si="13"/>
        <v>0.72957100510225659</v>
      </c>
      <c r="X43" s="344">
        <f>X50+X44</f>
        <v>101725.018863</v>
      </c>
      <c r="Y43" s="342">
        <f>IFERROR(X43/U43-1,0)</f>
        <v>4.8672143528108336E-2</v>
      </c>
      <c r="Z43" s="343">
        <f t="shared" si="14"/>
        <v>0.59650413022293614</v>
      </c>
      <c r="AA43" s="344">
        <f>AA50+AA44</f>
        <v>110566.3146</v>
      </c>
      <c r="AB43" s="342">
        <f>IFERROR(AA43/X43-1,0)</f>
        <v>8.691367999554922E-2</v>
      </c>
      <c r="AC43" s="343">
        <f t="shared" si="15"/>
        <v>0.47821156101260676</v>
      </c>
      <c r="AD43" s="344">
        <f>AD50+AD44</f>
        <v>123756.87964500001</v>
      </c>
      <c r="AE43" s="342">
        <f>IFERROR(AD43/AA43-1,0)</f>
        <v>0.11930003358364627</v>
      </c>
      <c r="AF43" s="345">
        <f t="shared" si="16"/>
        <v>0.40766264882153314</v>
      </c>
      <c r="AG43" s="775">
        <f>AG50+AG44</f>
        <v>129463.98370300001</v>
      </c>
      <c r="AH43" s="342">
        <f>IFERROR(AG43/AD43-1,0)</f>
        <v>4.6115448889556543E-2</v>
      </c>
      <c r="AI43" s="343">
        <f t="shared" si="17"/>
        <v>0.33463011181504343</v>
      </c>
      <c r="AJ43" s="344">
        <f>AJ50+AJ44</f>
        <v>141506.17944000001</v>
      </c>
      <c r="AK43" s="342">
        <f>IFERROR(AJ43/AG43-1,0)</f>
        <v>9.3015797850201309E-2</v>
      </c>
      <c r="AL43" s="343">
        <f t="shared" si="18"/>
        <v>0.39106564954857359</v>
      </c>
      <c r="AM43" s="344">
        <f>AM50+AM44</f>
        <v>154053.51558599999</v>
      </c>
      <c r="AN43" s="342">
        <f>IFERROR(AM43/AJ43-1,0)</f>
        <v>8.8669881383661941E-2</v>
      </c>
      <c r="AO43" s="343">
        <f t="shared" si="19"/>
        <v>0.3933132902487102</v>
      </c>
      <c r="AP43" s="344">
        <f>AP50+AP44</f>
        <v>163744.43135199999</v>
      </c>
      <c r="AQ43" s="342">
        <f>IFERROR(AP43/AM43-1,0)</f>
        <v>6.2906164323072833E-2</v>
      </c>
      <c r="AR43" s="345">
        <f t="shared" si="20"/>
        <v>0.32311376807257397</v>
      </c>
      <c r="AS43" s="775">
        <f>AS50+AS44</f>
        <v>172416.42394000001</v>
      </c>
      <c r="AT43" s="342">
        <f>IFERROR(AS43/AP43-1,0)</f>
        <v>5.2960534391291336E-2</v>
      </c>
      <c r="AU43" s="343">
        <f t="shared" si="204"/>
        <v>0.33177134681361342</v>
      </c>
      <c r="AV43" s="344">
        <f>AV50+AV44</f>
        <v>186245.51312299998</v>
      </c>
      <c r="AW43" s="342">
        <f>IFERROR(AV43/AS43-1,0)</f>
        <v>8.020749338712907E-2</v>
      </c>
      <c r="AX43" s="343">
        <f t="shared" si="205"/>
        <v>0.31616522939176583</v>
      </c>
      <c r="AY43" s="344">
        <f>AY50+AY44</f>
        <v>201746.08315800002</v>
      </c>
      <c r="AZ43" s="342">
        <f>IFERROR(AY43/AV43-1,0)</f>
        <v>8.3226542079234855E-2</v>
      </c>
      <c r="BA43" s="343">
        <f t="shared" si="206"/>
        <v>0.30958441545837867</v>
      </c>
      <c r="BB43" s="344">
        <f>BB50+BB44</f>
        <v>229553.85716000001</v>
      </c>
      <c r="BC43" s="342">
        <f>IFERROR(BB43/AY43-1,0)</f>
        <v>0.13783550870834982</v>
      </c>
      <c r="BD43" s="345">
        <f t="shared" si="207"/>
        <v>0.40190329078446685</v>
      </c>
      <c r="BE43" s="613">
        <f>BE50+BE44</f>
        <v>240906.90308700001</v>
      </c>
      <c r="BF43" s="342">
        <f>IFERROR(BE43/BB43-1,0)</f>
        <v>4.9457003543559974E-2</v>
      </c>
      <c r="BG43" s="343">
        <f t="shared" si="201"/>
        <v>0.39723871764579877</v>
      </c>
      <c r="BH43" s="614">
        <f>BH50+BH44</f>
        <v>259980.504828</v>
      </c>
      <c r="BI43" s="342">
        <f>IFERROR(BH43/BE43-1,0)</f>
        <v>7.9174160211224143E-2</v>
      </c>
      <c r="BJ43" s="343">
        <f t="shared" si="1"/>
        <v>0.39590211043797918</v>
      </c>
      <c r="BK43" s="614">
        <f>BK50+BK44</f>
        <v>271169.36151000002</v>
      </c>
      <c r="BL43" s="342">
        <f>IFERROR(BK43/BH43-1,0)</f>
        <v>4.303729115920607E-2</v>
      </c>
      <c r="BM43" s="343">
        <f t="shared" si="2"/>
        <v>0.34411214961546621</v>
      </c>
      <c r="BN43" s="614">
        <f>BN50+BN44</f>
        <v>283500.499663</v>
      </c>
      <c r="BO43" s="342">
        <f>IFERROR(BN43/BK43-1,0)</f>
        <v>4.5473935861833015E-2</v>
      </c>
      <c r="BP43" s="345">
        <f t="shared" si="3"/>
        <v>0.23500647373308547</v>
      </c>
      <c r="BQ43" s="613">
        <f>BQ50+BQ44</f>
        <v>297235.16150500003</v>
      </c>
      <c r="BR43" s="342">
        <f>IFERROR(BQ43/BN43-1,0)</f>
        <v>4.8446693597812285E-2</v>
      </c>
      <c r="BS43" s="343">
        <f t="shared" si="25"/>
        <v>0.23381753572108255</v>
      </c>
      <c r="BT43" s="614">
        <f>BT50+BT44</f>
        <v>324931.12191993202</v>
      </c>
      <c r="BU43" s="342">
        <f>IFERROR(BT43/BQ43-1,0)</f>
        <v>9.3178614113815339E-2</v>
      </c>
      <c r="BV43" s="343">
        <f t="shared" si="26"/>
        <v>0.24982879825894089</v>
      </c>
      <c r="BW43" s="614">
        <f>BW50+BW44</f>
        <v>341975.06912100001</v>
      </c>
      <c r="BX43" s="342">
        <f>IFERROR(BW43/BT43-1,0)</f>
        <v>5.2454031181623506E-2</v>
      </c>
      <c r="BY43" s="343">
        <f t="shared" si="27"/>
        <v>0.2611124915319345</v>
      </c>
      <c r="BZ43" s="614">
        <f>BZ50+BZ44</f>
        <v>452643.914758</v>
      </c>
      <c r="CA43" s="342">
        <f>IFERROR(BZ43/BW43-1,0)</f>
        <v>0.32361670668408404</v>
      </c>
      <c r="CB43" s="345">
        <f t="shared" si="28"/>
        <v>0.59662475126520964</v>
      </c>
      <c r="CC43" s="613">
        <f>CC50+CC44</f>
        <v>466751.48369299999</v>
      </c>
      <c r="CD43" s="342">
        <f>IFERROR(CC43/BZ43-1,0)</f>
        <v>3.1167035444500391E-2</v>
      </c>
      <c r="CE43" s="343">
        <f t="shared" si="203"/>
        <v>0.57031046168859256</v>
      </c>
      <c r="CF43" s="614">
        <f>CF50+CF44</f>
        <v>494739.68288600002</v>
      </c>
      <c r="CG43" s="342">
        <f t="shared" si="30"/>
        <v>5.9963814087003353E-2</v>
      </c>
      <c r="CH43" s="343">
        <f t="shared" si="31"/>
        <v>1.6563844389596909</v>
      </c>
      <c r="CI43" s="614">
        <f>CI50+CI44</f>
        <v>518354.41884881904</v>
      </c>
      <c r="CJ43" s="342">
        <f t="shared" si="32"/>
        <v>4.7731639041092233E-2</v>
      </c>
      <c r="CK43" s="343">
        <f t="shared" si="33"/>
        <v>1.5693406817859414</v>
      </c>
      <c r="CL43" s="614"/>
      <c r="CM43" s="342">
        <f t="shared" si="34"/>
        <v>-1</v>
      </c>
      <c r="CN43" s="345">
        <f t="shared" si="35"/>
        <v>-1</v>
      </c>
    </row>
    <row r="44" spans="1:93" s="31" customFormat="1" ht="18" customHeight="1" x14ac:dyDescent="0.4">
      <c r="A44" s="156">
        <f t="shared" si="4"/>
        <v>43</v>
      </c>
      <c r="B44" s="28" t="s">
        <v>27</v>
      </c>
      <c r="C44" s="29"/>
      <c r="D44" s="148" t="s">
        <v>226</v>
      </c>
      <c r="E44" s="765">
        <f t="shared" ref="E44" si="229">SUM(E45:E49)</f>
        <v>36571.670379000003</v>
      </c>
      <c r="F44" s="766">
        <f t="shared" ref="F44:O44" si="230">SUM(F45:F49)</f>
        <v>41954.374255000002</v>
      </c>
      <c r="G44" s="766">
        <f t="shared" si="230"/>
        <v>44799.522691999999</v>
      </c>
      <c r="H44" s="766">
        <f t="shared" si="230"/>
        <v>51043.024111000006</v>
      </c>
      <c r="I44" s="776">
        <f t="shared" si="230"/>
        <v>56085.378000000004</v>
      </c>
      <c r="J44" s="346">
        <f t="shared" si="5"/>
        <v>9.8786346945955117E-2</v>
      </c>
      <c r="K44" s="347">
        <f t="shared" si="6"/>
        <v>0.53357441480728918</v>
      </c>
      <c r="L44" s="148">
        <f t="shared" si="230"/>
        <v>63717.354022</v>
      </c>
      <c r="M44" s="346">
        <f t="shared" si="7"/>
        <v>0.13607782088943021</v>
      </c>
      <c r="N44" s="347">
        <f t="shared" si="8"/>
        <v>0.51872969513795919</v>
      </c>
      <c r="O44" s="148">
        <f t="shared" si="230"/>
        <v>74797.354800999994</v>
      </c>
      <c r="P44" s="346">
        <f t="shared" si="9"/>
        <v>0.17389298330207414</v>
      </c>
      <c r="Q44" s="347">
        <f t="shared" si="10"/>
        <v>0.6696016007857335</v>
      </c>
      <c r="R44" s="148">
        <f>SUM(R45:R49)</f>
        <v>87916.575572000002</v>
      </c>
      <c r="S44" s="346">
        <f t="shared" si="11"/>
        <v>0.1753968546869602</v>
      </c>
      <c r="T44" s="348">
        <f t="shared" si="12"/>
        <v>0.72240138791176323</v>
      </c>
      <c r="U44" s="776">
        <f>SUM(U45:U49)</f>
        <v>97003.643599000003</v>
      </c>
      <c r="V44" s="346">
        <f>IFERROR(U44/R44-1,0)</f>
        <v>0.10336012256935634</v>
      </c>
      <c r="W44" s="347">
        <f t="shared" si="13"/>
        <v>0.72957100510225659</v>
      </c>
      <c r="X44" s="148">
        <f>SUM(X45:X49)</f>
        <v>101725.018863</v>
      </c>
      <c r="Y44" s="346">
        <f>IFERROR(X44/U44-1,0)</f>
        <v>4.8672143528108336E-2</v>
      </c>
      <c r="Z44" s="347">
        <f t="shared" si="14"/>
        <v>0.59650413022293614</v>
      </c>
      <c r="AA44" s="148">
        <f>SUM(AA45:AA49)</f>
        <v>110566.3146</v>
      </c>
      <c r="AB44" s="346">
        <f>IFERROR(AA44/X44-1,0)</f>
        <v>8.691367999554922E-2</v>
      </c>
      <c r="AC44" s="347">
        <f t="shared" si="15"/>
        <v>0.47821156101260676</v>
      </c>
      <c r="AD44" s="148">
        <f>SUM(AD45:AD49)</f>
        <v>123756.87964500001</v>
      </c>
      <c r="AE44" s="346">
        <f>IFERROR(AD44/AA44-1,0)</f>
        <v>0.11930003358364627</v>
      </c>
      <c r="AF44" s="348">
        <f t="shared" si="16"/>
        <v>0.40766264882153314</v>
      </c>
      <c r="AG44" s="776">
        <f>SUM(AG45:AG49)</f>
        <v>129463.98370300001</v>
      </c>
      <c r="AH44" s="346">
        <f>IFERROR(AG44/AD44-1,0)</f>
        <v>4.6115448889556543E-2</v>
      </c>
      <c r="AI44" s="347">
        <f t="shared" si="17"/>
        <v>0.33463011181504343</v>
      </c>
      <c r="AJ44" s="148">
        <f>SUM(AJ45:AJ49)</f>
        <v>141506.17944000001</v>
      </c>
      <c r="AK44" s="346">
        <f>IFERROR(AJ44/AG44-1,0)</f>
        <v>9.3015797850201309E-2</v>
      </c>
      <c r="AL44" s="347">
        <f t="shared" si="18"/>
        <v>0.39106564954857359</v>
      </c>
      <c r="AM44" s="148">
        <f>SUM(AM45:AM49)</f>
        <v>154053.51558599999</v>
      </c>
      <c r="AN44" s="346">
        <f>IFERROR(AM44/AJ44-1,0)</f>
        <v>8.8669881383661941E-2</v>
      </c>
      <c r="AO44" s="347">
        <f t="shared" si="19"/>
        <v>0.3933132902487102</v>
      </c>
      <c r="AP44" s="148">
        <f>SUM(AP45:AP49)</f>
        <v>163744.43135199999</v>
      </c>
      <c r="AQ44" s="346">
        <f>IFERROR(AP44/AM44-1,0)</f>
        <v>6.2906164323072833E-2</v>
      </c>
      <c r="AR44" s="348">
        <f t="shared" si="20"/>
        <v>0.32311376807257397</v>
      </c>
      <c r="AS44" s="776">
        <f>SUM(AS45:AS49)</f>
        <v>172416.42394000001</v>
      </c>
      <c r="AT44" s="346">
        <f>IFERROR(AS44/AP44-1,0)</f>
        <v>5.2960534391291336E-2</v>
      </c>
      <c r="AU44" s="347">
        <f t="shared" si="204"/>
        <v>0.33177134681361342</v>
      </c>
      <c r="AV44" s="148">
        <f>SUM(AV45:AV49)</f>
        <v>186245.51312299998</v>
      </c>
      <c r="AW44" s="346">
        <f>IFERROR(AV44/AS44-1,0)</f>
        <v>8.020749338712907E-2</v>
      </c>
      <c r="AX44" s="347">
        <f t="shared" si="205"/>
        <v>0.31616522939176583</v>
      </c>
      <c r="AY44" s="148">
        <f>SUM(AY45:AY49)</f>
        <v>201746.08315800002</v>
      </c>
      <c r="AZ44" s="346">
        <f>IFERROR(AY44/AV44-1,0)</f>
        <v>8.3226542079234855E-2</v>
      </c>
      <c r="BA44" s="347">
        <f t="shared" si="206"/>
        <v>0.30958441545837867</v>
      </c>
      <c r="BB44" s="148">
        <f>SUM(BB45:BB49)</f>
        <v>229553.85716000001</v>
      </c>
      <c r="BC44" s="346">
        <f>IFERROR(BB44/AY44-1,0)</f>
        <v>0.13783550870834982</v>
      </c>
      <c r="BD44" s="348">
        <f t="shared" si="207"/>
        <v>0.40190329078446685</v>
      </c>
      <c r="BE44" s="615">
        <f>SUM(BE45:BE49)</f>
        <v>240906.90308700001</v>
      </c>
      <c r="BF44" s="346">
        <f>IFERROR(BE44/BB44-1,0)</f>
        <v>4.9457003543559974E-2</v>
      </c>
      <c r="BG44" s="347">
        <f t="shared" si="201"/>
        <v>0.39723871764579877</v>
      </c>
      <c r="BH44" s="616">
        <f>SUM(BH45:BH49)</f>
        <v>259980.504828</v>
      </c>
      <c r="BI44" s="346">
        <f>IFERROR(BH44/BE44-1,0)</f>
        <v>7.9174160211224143E-2</v>
      </c>
      <c r="BJ44" s="347">
        <f t="shared" si="1"/>
        <v>0.39590211043797918</v>
      </c>
      <c r="BK44" s="616">
        <f>SUM(BK45:BK49)</f>
        <v>271169.36151000002</v>
      </c>
      <c r="BL44" s="346">
        <f>IFERROR(BK44/BH44-1,0)</f>
        <v>4.303729115920607E-2</v>
      </c>
      <c r="BM44" s="347">
        <f t="shared" si="2"/>
        <v>0.34411214961546621</v>
      </c>
      <c r="BN44" s="616">
        <f>SUM(BN45:BN49)</f>
        <v>283500.499663</v>
      </c>
      <c r="BO44" s="346">
        <f>IFERROR(BN44/BK44-1,0)</f>
        <v>4.5473935861833015E-2</v>
      </c>
      <c r="BP44" s="348">
        <f t="shared" si="3"/>
        <v>0.23500647373308547</v>
      </c>
      <c r="BQ44" s="615">
        <f>SUM(BQ45:BQ49)</f>
        <v>297235.16150500003</v>
      </c>
      <c r="BR44" s="346">
        <f>IFERROR(BQ44/BN44-1,0)</f>
        <v>4.8446693597812285E-2</v>
      </c>
      <c r="BS44" s="347">
        <f t="shared" si="25"/>
        <v>0.23381753572108255</v>
      </c>
      <c r="BT44" s="616">
        <f>SUM(BT45:BT49)</f>
        <v>324931.12191993202</v>
      </c>
      <c r="BU44" s="346">
        <f>IFERROR(BT44/BQ44-1,0)</f>
        <v>9.3178614113815339E-2</v>
      </c>
      <c r="BV44" s="347">
        <f t="shared" si="26"/>
        <v>0.24982879825894089</v>
      </c>
      <c r="BW44" s="616">
        <f>SUM(BW45:BW49)</f>
        <v>341975.06912100001</v>
      </c>
      <c r="BX44" s="346">
        <f>IFERROR(BW44/BT44-1,0)</f>
        <v>5.2454031181623506E-2</v>
      </c>
      <c r="BY44" s="347">
        <f t="shared" si="27"/>
        <v>0.2611124915319345</v>
      </c>
      <c r="BZ44" s="616">
        <f>SUM(BZ45:BZ49)</f>
        <v>453964.808472</v>
      </c>
      <c r="CA44" s="346">
        <f>IFERROR(BZ44/BW44-1,0)</f>
        <v>0.32747925057476923</v>
      </c>
      <c r="CB44" s="348">
        <f t="shared" si="28"/>
        <v>0.60128398013983286</v>
      </c>
      <c r="CC44" s="615">
        <f>SUM(CC45:CC49)</f>
        <v>468164</v>
      </c>
      <c r="CD44" s="346">
        <f>IFERROR(CC44/BZ44-1,0)</f>
        <v>3.1278176772761457E-2</v>
      </c>
      <c r="CE44" s="347">
        <f t="shared" si="203"/>
        <v>0.57506264612009783</v>
      </c>
      <c r="CF44" s="616">
        <f>SUM(CF45:CF49)</f>
        <v>496151.84869100002</v>
      </c>
      <c r="CG44" s="346">
        <f t="shared" si="30"/>
        <v>5.9782146194496066E-2</v>
      </c>
      <c r="CH44" s="347">
        <f t="shared" si="31"/>
        <v>1.663966719903379</v>
      </c>
      <c r="CI44" s="616">
        <f>SUM(CI45:CI49)</f>
        <v>519678.91097881907</v>
      </c>
      <c r="CJ44" s="346">
        <f t="shared" si="32"/>
        <v>4.7419076135442495E-2</v>
      </c>
      <c r="CK44" s="347">
        <f t="shared" si="33"/>
        <v>1.5759058259972556</v>
      </c>
      <c r="CL44" s="616"/>
      <c r="CM44" s="346">
        <f t="shared" si="34"/>
        <v>-1</v>
      </c>
      <c r="CN44" s="348">
        <f t="shared" si="35"/>
        <v>-1</v>
      </c>
      <c r="CO44" s="21"/>
    </row>
    <row r="45" spans="1:93" ht="16.2" customHeight="1" x14ac:dyDescent="0.4">
      <c r="A45" s="156">
        <f t="shared" si="4"/>
        <v>44</v>
      </c>
      <c r="B45" s="32"/>
      <c r="C45" s="33" t="s">
        <v>153</v>
      </c>
      <c r="D45" s="34" t="s">
        <v>283</v>
      </c>
      <c r="E45" s="767">
        <v>6047.3077000000003</v>
      </c>
      <c r="F45" s="768">
        <v>6197.3077000000003</v>
      </c>
      <c r="G45" s="768">
        <v>6197.3077000000003</v>
      </c>
      <c r="H45" s="768">
        <v>6197.3077000000003</v>
      </c>
      <c r="I45" s="777">
        <v>6197.3077000000003</v>
      </c>
      <c r="J45" s="349">
        <f t="shared" si="5"/>
        <v>0</v>
      </c>
      <c r="K45" s="350">
        <f t="shared" si="6"/>
        <v>2.4804426604586371E-2</v>
      </c>
      <c r="L45" s="147">
        <v>6197.3077000000003</v>
      </c>
      <c r="M45" s="349">
        <f t="shared" si="7"/>
        <v>0</v>
      </c>
      <c r="N45" s="350">
        <f t="shared" si="8"/>
        <v>0</v>
      </c>
      <c r="O45" s="147">
        <v>6283.0113000000001</v>
      </c>
      <c r="P45" s="349">
        <f t="shared" si="9"/>
        <v>1.3829166494347289E-2</v>
      </c>
      <c r="Q45" s="350">
        <f t="shared" si="10"/>
        <v>1.3829166494347289E-2</v>
      </c>
      <c r="R45" s="147">
        <v>6436.4380000000001</v>
      </c>
      <c r="S45" s="349">
        <f t="shared" si="11"/>
        <v>2.441929397771414E-2</v>
      </c>
      <c r="T45" s="351">
        <f t="shared" si="12"/>
        <v>3.8586158954153627E-2</v>
      </c>
      <c r="U45" s="777">
        <v>6470.9168</v>
      </c>
      <c r="V45" s="349">
        <f>(IFERROR(U45/R45-1,0))</f>
        <v>5.3568138153432532E-3</v>
      </c>
      <c r="W45" s="350">
        <f t="shared" si="13"/>
        <v>4.4149671638863408E-2</v>
      </c>
      <c r="X45" s="147">
        <v>6470.9168</v>
      </c>
      <c r="Y45" s="349">
        <f>(IFERROR(X45/U45-1,0))</f>
        <v>0</v>
      </c>
      <c r="Z45" s="350">
        <f t="shared" si="14"/>
        <v>4.4149671638863408E-2</v>
      </c>
      <c r="AA45" s="147">
        <v>6470.9168</v>
      </c>
      <c r="AB45" s="349">
        <f>(IFERROR(AA45/X45-1,0))</f>
        <v>0</v>
      </c>
      <c r="AC45" s="350">
        <f t="shared" si="15"/>
        <v>2.9906917404397992E-2</v>
      </c>
      <c r="AD45" s="147">
        <v>6470.9168</v>
      </c>
      <c r="AE45" s="349">
        <f>(IFERROR(AD45/AA45-1,0))</f>
        <v>0</v>
      </c>
      <c r="AF45" s="351">
        <f t="shared" si="16"/>
        <v>5.3568138153432532E-3</v>
      </c>
      <c r="AG45" s="777">
        <v>6471.6863999999996</v>
      </c>
      <c r="AH45" s="349">
        <f>(IFERROR(AG45/AD45-1,0))</f>
        <v>1.18932142660233E-4</v>
      </c>
      <c r="AI45" s="350">
        <f t="shared" si="17"/>
        <v>1.18932142660233E-4</v>
      </c>
      <c r="AJ45" s="147">
        <v>6471.6863999999996</v>
      </c>
      <c r="AK45" s="349">
        <f>(IFERROR(AJ45/AG45-1,0))</f>
        <v>0</v>
      </c>
      <c r="AL45" s="350">
        <f t="shared" si="18"/>
        <v>1.18932142660233E-4</v>
      </c>
      <c r="AM45" s="147">
        <v>6471.6863999999996</v>
      </c>
      <c r="AN45" s="349">
        <f>(IFERROR(AM45/AJ45-1,0))</f>
        <v>0</v>
      </c>
      <c r="AO45" s="350">
        <f t="shared" si="19"/>
        <v>1.18932142660233E-4</v>
      </c>
      <c r="AP45" s="147">
        <v>6471.6863999999996</v>
      </c>
      <c r="AQ45" s="349">
        <f>(IFERROR(AP45/AM45-1,0))</f>
        <v>0</v>
      </c>
      <c r="AR45" s="351">
        <f t="shared" si="20"/>
        <v>1.18932142660233E-4</v>
      </c>
      <c r="AS45" s="777">
        <v>6477.6701999999996</v>
      </c>
      <c r="AT45" s="349">
        <f>(IFERROR(AS45/AP45-1,0))</f>
        <v>9.246121690940079E-4</v>
      </c>
      <c r="AU45" s="350">
        <f t="shared" si="204"/>
        <v>9.246121690940079E-4</v>
      </c>
      <c r="AV45" s="147">
        <v>6477.6701999999996</v>
      </c>
      <c r="AW45" s="349">
        <f>(IFERROR(AV45/AS45-1,0))</f>
        <v>0</v>
      </c>
      <c r="AX45" s="350">
        <f t="shared" si="205"/>
        <v>9.246121690940079E-4</v>
      </c>
      <c r="AY45" s="147">
        <v>6477.6701999999996</v>
      </c>
      <c r="AZ45" s="349">
        <f>(IFERROR(AY45/AV45-1,0))</f>
        <v>0</v>
      </c>
      <c r="BA45" s="350">
        <f t="shared" si="206"/>
        <v>9.246121690940079E-4</v>
      </c>
      <c r="BB45" s="147">
        <v>6477.6701999999996</v>
      </c>
      <c r="BC45" s="349">
        <f>(IFERROR(BB45/AY45-1,0))</f>
        <v>0</v>
      </c>
      <c r="BD45" s="351">
        <f t="shared" si="207"/>
        <v>9.246121690940079E-4</v>
      </c>
      <c r="BE45" s="617">
        <v>6477.6701999999996</v>
      </c>
      <c r="BF45" s="349">
        <f>(IFERROR(BE45/BB45-1,0))</f>
        <v>0</v>
      </c>
      <c r="BG45" s="350">
        <f t="shared" si="201"/>
        <v>0</v>
      </c>
      <c r="BH45" s="618">
        <v>6477.6701999999996</v>
      </c>
      <c r="BI45" s="349">
        <f>(IFERROR(BH45/BE45-1,0))</f>
        <v>0</v>
      </c>
      <c r="BJ45" s="350">
        <f t="shared" si="1"/>
        <v>0</v>
      </c>
      <c r="BK45" s="618">
        <v>6477.6701999999996</v>
      </c>
      <c r="BL45" s="349">
        <f>(IFERROR(BK45/BH45-1,0))</f>
        <v>0</v>
      </c>
      <c r="BM45" s="350">
        <f t="shared" si="2"/>
        <v>0</v>
      </c>
      <c r="BN45" s="618">
        <v>6477.6701999999996</v>
      </c>
      <c r="BO45" s="349">
        <f>(IFERROR(BN45/BK45-1,0))</f>
        <v>0</v>
      </c>
      <c r="BP45" s="351">
        <f t="shared" si="3"/>
        <v>0</v>
      </c>
      <c r="BQ45" s="617">
        <v>6477.6701999999996</v>
      </c>
      <c r="BR45" s="349">
        <f>(IFERROR(BQ45/BN45-1,0))</f>
        <v>0</v>
      </c>
      <c r="BS45" s="350">
        <f t="shared" si="25"/>
        <v>0</v>
      </c>
      <c r="BT45" s="618">
        <v>6477.6701999999996</v>
      </c>
      <c r="BU45" s="349">
        <f>(IFERROR(BT45/BQ45-1,0))</f>
        <v>0</v>
      </c>
      <c r="BV45" s="350">
        <f t="shared" si="26"/>
        <v>0</v>
      </c>
      <c r="BW45" s="618">
        <v>6477.6701999999996</v>
      </c>
      <c r="BX45" s="349">
        <f>(IFERROR(BW45/BT45-1,0))</f>
        <v>0</v>
      </c>
      <c r="BY45" s="350">
        <f t="shared" si="27"/>
        <v>0</v>
      </c>
      <c r="BZ45" s="618">
        <v>6628.2842000000001</v>
      </c>
      <c r="CA45" s="349">
        <f>(IFERROR(BZ45/BW45-1,0))</f>
        <v>2.3251260924028072E-2</v>
      </c>
      <c r="CB45" s="351">
        <f t="shared" si="28"/>
        <v>2.3251260924028072E-2</v>
      </c>
      <c r="CC45" s="617">
        <v>6628</v>
      </c>
      <c r="CD45" s="349">
        <f>(IFERROR(CC45/BZ45-1,0))</f>
        <v>-4.2876857935580936E-5</v>
      </c>
      <c r="CE45" s="350">
        <f t="shared" si="203"/>
        <v>2.3207387125080858E-2</v>
      </c>
      <c r="CF45" s="618">
        <v>6628.2842000000001</v>
      </c>
      <c r="CG45" s="349">
        <f t="shared" si="30"/>
        <v>4.2878696439263564E-5</v>
      </c>
      <c r="CH45" s="350">
        <f t="shared" si="31"/>
        <v>2.3251260924028072E-2</v>
      </c>
      <c r="CI45" s="618">
        <v>6628.2842000000001</v>
      </c>
      <c r="CJ45" s="349">
        <f t="shared" si="32"/>
        <v>0</v>
      </c>
      <c r="CK45" s="350">
        <f t="shared" si="33"/>
        <v>2.3251260924028072E-2</v>
      </c>
      <c r="CL45" s="618"/>
      <c r="CM45" s="349">
        <f t="shared" si="34"/>
        <v>-1</v>
      </c>
      <c r="CN45" s="351">
        <f t="shared" si="35"/>
        <v>-1</v>
      </c>
    </row>
    <row r="46" spans="1:93" ht="16.2" customHeight="1" x14ac:dyDescent="0.4">
      <c r="A46" s="156">
        <f t="shared" si="4"/>
        <v>45</v>
      </c>
      <c r="B46" s="32"/>
      <c r="C46" s="33" t="s">
        <v>154</v>
      </c>
      <c r="D46" s="34" t="s">
        <v>282</v>
      </c>
      <c r="E46" s="767">
        <v>17858.287918999999</v>
      </c>
      <c r="F46" s="768">
        <v>19185.934646000002</v>
      </c>
      <c r="G46" s="768">
        <v>19185.934646000002</v>
      </c>
      <c r="H46" s="768">
        <v>19185.934646000002</v>
      </c>
      <c r="I46" s="777">
        <v>19185.934646000002</v>
      </c>
      <c r="J46" s="349">
        <f t="shared" si="5"/>
        <v>0</v>
      </c>
      <c r="K46" s="350">
        <f t="shared" si="6"/>
        <v>7.434344955248906E-2</v>
      </c>
      <c r="L46" s="147">
        <v>19185.934646000002</v>
      </c>
      <c r="M46" s="349">
        <f t="shared" si="7"/>
        <v>0</v>
      </c>
      <c r="N46" s="350">
        <f t="shared" si="8"/>
        <v>0</v>
      </c>
      <c r="O46" s="147">
        <v>20727.772675</v>
      </c>
      <c r="P46" s="349">
        <f t="shared" si="9"/>
        <v>8.036293552795204E-2</v>
      </c>
      <c r="Q46" s="350">
        <f t="shared" si="10"/>
        <v>8.036293552795204E-2</v>
      </c>
      <c r="R46" s="147">
        <v>23487.973190000001</v>
      </c>
      <c r="S46" s="349">
        <f t="shared" si="11"/>
        <v>0.13316435674389226</v>
      </c>
      <c r="T46" s="351">
        <f t="shared" si="12"/>
        <v>0.22422877088747484</v>
      </c>
      <c r="U46" s="777">
        <v>24108.258978000002</v>
      </c>
      <c r="V46" s="349">
        <f>(IFERROR(U46/R46-1,0))</f>
        <v>2.6408655314034801E-2</v>
      </c>
      <c r="W46" s="350">
        <f t="shared" si="13"/>
        <v>0.25655900652336672</v>
      </c>
      <c r="X46" s="147">
        <v>24108.258978000002</v>
      </c>
      <c r="Y46" s="349">
        <f>(IFERROR(X46/U46-1,0))</f>
        <v>0</v>
      </c>
      <c r="Z46" s="350">
        <f t="shared" si="14"/>
        <v>0.25655900652336672</v>
      </c>
      <c r="AA46" s="147">
        <v>24108.258978000002</v>
      </c>
      <c r="AB46" s="349">
        <f>(IFERROR(AA46/X46-1,0))</f>
        <v>0</v>
      </c>
      <c r="AC46" s="350">
        <f t="shared" si="15"/>
        <v>0.16308970365529163</v>
      </c>
      <c r="AD46" s="147">
        <v>24108.258978000002</v>
      </c>
      <c r="AE46" s="349">
        <f>(IFERROR(AD46/AA46-1,0))</f>
        <v>0</v>
      </c>
      <c r="AF46" s="351">
        <f t="shared" si="16"/>
        <v>2.6408655314034801E-2</v>
      </c>
      <c r="AG46" s="777">
        <v>24122.104353999999</v>
      </c>
      <c r="AH46" s="349">
        <f>(IFERROR(AG46/AD46-1,0))</f>
        <v>5.74300119001947E-4</v>
      </c>
      <c r="AI46" s="350">
        <f t="shared" si="17"/>
        <v>5.74300119001947E-4</v>
      </c>
      <c r="AJ46" s="147">
        <v>24122.104353999999</v>
      </c>
      <c r="AK46" s="349">
        <f>(IFERROR(AJ46/AG46-1,0))</f>
        <v>0</v>
      </c>
      <c r="AL46" s="350">
        <f t="shared" si="18"/>
        <v>5.74300119001947E-4</v>
      </c>
      <c r="AM46" s="147">
        <v>24122.104353999999</v>
      </c>
      <c r="AN46" s="349">
        <f>(IFERROR(AM46/AJ46-1,0))</f>
        <v>0</v>
      </c>
      <c r="AO46" s="350">
        <f t="shared" si="19"/>
        <v>5.74300119001947E-4</v>
      </c>
      <c r="AP46" s="147">
        <v>24122.104353999999</v>
      </c>
      <c r="AQ46" s="349">
        <f>(IFERROR(AP46/AM46-1,0))</f>
        <v>0</v>
      </c>
      <c r="AR46" s="351">
        <f t="shared" si="20"/>
        <v>5.74300119001947E-4</v>
      </c>
      <c r="AS46" s="777">
        <v>24229.755029</v>
      </c>
      <c r="AT46" s="349">
        <f>(IFERROR(AS46/AP46-1,0))</f>
        <v>4.4627397933525437E-3</v>
      </c>
      <c r="AU46" s="350">
        <f t="shared" si="204"/>
        <v>4.4627397933525437E-3</v>
      </c>
      <c r="AV46" s="147">
        <v>24229.755029</v>
      </c>
      <c r="AW46" s="349">
        <f>(IFERROR(AV46/AS46-1,0))</f>
        <v>0</v>
      </c>
      <c r="AX46" s="350">
        <f t="shared" si="205"/>
        <v>4.4627397933525437E-3</v>
      </c>
      <c r="AY46" s="147">
        <v>24229.755029</v>
      </c>
      <c r="AZ46" s="349">
        <f>(IFERROR(AY46/AV46-1,0))</f>
        <v>0</v>
      </c>
      <c r="BA46" s="350">
        <f t="shared" si="206"/>
        <v>4.4627397933525437E-3</v>
      </c>
      <c r="BB46" s="147">
        <v>24229.755029</v>
      </c>
      <c r="BC46" s="349">
        <f>(IFERROR(BB46/AY46-1,0))</f>
        <v>0</v>
      </c>
      <c r="BD46" s="351">
        <f t="shared" si="207"/>
        <v>4.4627397933525437E-3</v>
      </c>
      <c r="BE46" s="617">
        <v>24229.755029</v>
      </c>
      <c r="BF46" s="349">
        <f>(IFERROR(BE46/BB46-1,0))</f>
        <v>0</v>
      </c>
      <c r="BG46" s="350">
        <f t="shared" si="201"/>
        <v>0</v>
      </c>
      <c r="BH46" s="618">
        <v>24229.755029</v>
      </c>
      <c r="BI46" s="349">
        <f>(IFERROR(BH46/BE46-1,0))</f>
        <v>0</v>
      </c>
      <c r="BJ46" s="350">
        <f t="shared" si="1"/>
        <v>0</v>
      </c>
      <c r="BK46" s="618">
        <v>24229.755029</v>
      </c>
      <c r="BL46" s="349">
        <f>(IFERROR(BK46/BH46-1,0))</f>
        <v>0</v>
      </c>
      <c r="BM46" s="350">
        <f t="shared" si="2"/>
        <v>0</v>
      </c>
      <c r="BN46" s="618">
        <v>24229.755029</v>
      </c>
      <c r="BO46" s="349">
        <f>(IFERROR(BN46/BK46-1,0))</f>
        <v>0</v>
      </c>
      <c r="BP46" s="351">
        <f t="shared" si="3"/>
        <v>0</v>
      </c>
      <c r="BQ46" s="617">
        <v>24229.755029</v>
      </c>
      <c r="BR46" s="349">
        <f>(IFERROR(BQ46/BN46-1,0))</f>
        <v>0</v>
      </c>
      <c r="BS46" s="350">
        <f t="shared" si="25"/>
        <v>0</v>
      </c>
      <c r="BT46" s="618">
        <v>24229.755029</v>
      </c>
      <c r="BU46" s="349">
        <f>(IFERROR(BT46/BQ46-1,0))</f>
        <v>0</v>
      </c>
      <c r="BV46" s="350">
        <f t="shared" si="26"/>
        <v>0</v>
      </c>
      <c r="BW46" s="618">
        <v>24229.755029</v>
      </c>
      <c r="BX46" s="349">
        <f>(IFERROR(BW46/BT46-1,0))</f>
        <v>0</v>
      </c>
      <c r="BY46" s="350">
        <f t="shared" si="27"/>
        <v>0</v>
      </c>
      <c r="BZ46" s="618">
        <v>106314.385029</v>
      </c>
      <c r="CA46" s="349">
        <f>(IFERROR(BZ46/BW46-1,0))</f>
        <v>3.3877614487540182</v>
      </c>
      <c r="CB46" s="351">
        <f t="shared" si="28"/>
        <v>3.3877614487540182</v>
      </c>
      <c r="CC46" s="617">
        <v>106314</v>
      </c>
      <c r="CD46" s="349">
        <f>(IFERROR(CC46/BZ46-1,0))</f>
        <v>-3.6216077428097293E-6</v>
      </c>
      <c r="CE46" s="350">
        <f t="shared" si="203"/>
        <v>3.3877455580031812</v>
      </c>
      <c r="CF46" s="618">
        <v>106314.385029</v>
      </c>
      <c r="CG46" s="349">
        <f t="shared" si="30"/>
        <v>3.6216208589845422E-6</v>
      </c>
      <c r="CH46" s="350">
        <f t="shared" si="31"/>
        <v>3.3877614487540182</v>
      </c>
      <c r="CI46" s="618">
        <v>106314.385029</v>
      </c>
      <c r="CJ46" s="349">
        <f t="shared" si="32"/>
        <v>0</v>
      </c>
      <c r="CK46" s="350">
        <f t="shared" si="33"/>
        <v>3.3877614487540182</v>
      </c>
      <c r="CL46" s="618"/>
      <c r="CM46" s="349">
        <f t="shared" si="34"/>
        <v>-1</v>
      </c>
      <c r="CN46" s="351">
        <f t="shared" si="35"/>
        <v>-1</v>
      </c>
    </row>
    <row r="47" spans="1:93" ht="16.2" customHeight="1" x14ac:dyDescent="0.4">
      <c r="A47" s="156">
        <f t="shared" si="4"/>
        <v>46</v>
      </c>
      <c r="B47" s="32"/>
      <c r="C47" s="33" t="s">
        <v>155</v>
      </c>
      <c r="D47" s="34" t="s">
        <v>228</v>
      </c>
      <c r="E47" s="767">
        <v>137.363878</v>
      </c>
      <c r="F47" s="768">
        <v>165.41250400000001</v>
      </c>
      <c r="G47" s="768">
        <v>193.46113</v>
      </c>
      <c r="H47" s="768">
        <v>213.68881300000001</v>
      </c>
      <c r="I47" s="777">
        <v>218.27461099999999</v>
      </c>
      <c r="J47" s="349">
        <f t="shared" si="5"/>
        <v>2.1460168810989666E-2</v>
      </c>
      <c r="K47" s="350">
        <f t="shared" si="6"/>
        <v>0.58902481626210346</v>
      </c>
      <c r="L47" s="147">
        <v>222.860409</v>
      </c>
      <c r="M47" s="349">
        <f t="shared" si="7"/>
        <v>2.1009305566921821E-2</v>
      </c>
      <c r="N47" s="350">
        <f t="shared" si="8"/>
        <v>0.34730086064110366</v>
      </c>
      <c r="O47" s="147">
        <v>155.795863</v>
      </c>
      <c r="P47" s="349">
        <f t="shared" si="9"/>
        <v>-0.30092624482260555</v>
      </c>
      <c r="Q47" s="350">
        <f t="shared" si="10"/>
        <v>-0.19469165201299088</v>
      </c>
      <c r="R47" s="147">
        <v>33.000321</v>
      </c>
      <c r="S47" s="349">
        <f t="shared" si="11"/>
        <v>-0.78818230237602649</v>
      </c>
      <c r="T47" s="351">
        <f t="shared" si="12"/>
        <v>-0.84556832649915092</v>
      </c>
      <c r="U47" s="777">
        <v>5.4051049999999998</v>
      </c>
      <c r="V47" s="349">
        <f>(IFERROR(U47/R47-1,0))</f>
        <v>-0.83621053261875844</v>
      </c>
      <c r="W47" s="350">
        <f t="shared" si="13"/>
        <v>-0.97523713374067134</v>
      </c>
      <c r="X47" s="147">
        <v>5.4051049999999998</v>
      </c>
      <c r="Y47" s="349">
        <f>(IFERROR(X47/U47-1,0))</f>
        <v>0</v>
      </c>
      <c r="Z47" s="350">
        <f t="shared" si="14"/>
        <v>-0.97574667916902191</v>
      </c>
      <c r="AA47" s="147">
        <v>5.4051049999999998</v>
      </c>
      <c r="AB47" s="349">
        <f>(IFERROR(AA47/X47-1,0))</f>
        <v>0</v>
      </c>
      <c r="AC47" s="350">
        <f t="shared" si="15"/>
        <v>-0.96530649212424846</v>
      </c>
      <c r="AD47" s="147">
        <v>5.4051049999999998</v>
      </c>
      <c r="AE47" s="349">
        <f>(IFERROR(AD47/AA47-1,0))</f>
        <v>0</v>
      </c>
      <c r="AF47" s="351">
        <f t="shared" si="16"/>
        <v>-0.83621053261875844</v>
      </c>
      <c r="AG47" s="777">
        <v>4.7891529999999998</v>
      </c>
      <c r="AH47" s="349">
        <f>(IFERROR(AG47/AD47-1,0))</f>
        <v>-0.1139574531854608</v>
      </c>
      <c r="AI47" s="350">
        <f t="shared" si="17"/>
        <v>-0.1139574531854608</v>
      </c>
      <c r="AJ47" s="147">
        <v>4.7891529999999998</v>
      </c>
      <c r="AK47" s="349">
        <f>(IFERROR(AJ47/AG47-1,0))</f>
        <v>0</v>
      </c>
      <c r="AL47" s="350">
        <f t="shared" si="18"/>
        <v>-0.1139574531854608</v>
      </c>
      <c r="AM47" s="147">
        <v>4.7891529999999998</v>
      </c>
      <c r="AN47" s="349">
        <f>(IFERROR(AM47/AJ47-1,0))</f>
        <v>0</v>
      </c>
      <c r="AO47" s="350">
        <f t="shared" si="19"/>
        <v>-0.1139574531854608</v>
      </c>
      <c r="AP47" s="147">
        <v>4.7891529999999998</v>
      </c>
      <c r="AQ47" s="349">
        <f>(IFERROR(AP47/AM47-1,0))</f>
        <v>0</v>
      </c>
      <c r="AR47" s="351">
        <f t="shared" si="20"/>
        <v>-0.1139574531854608</v>
      </c>
      <c r="AS47" s="777">
        <v>0</v>
      </c>
      <c r="AT47" s="349">
        <f>(IFERROR(AS47/AP47-1,0))</f>
        <v>-1</v>
      </c>
      <c r="AU47" s="350">
        <f t="shared" si="204"/>
        <v>-1</v>
      </c>
      <c r="AV47" s="147">
        <v>0</v>
      </c>
      <c r="AW47" s="349">
        <f>(IFERROR(AV47/AS47-1,0))</f>
        <v>0</v>
      </c>
      <c r="AX47" s="350">
        <f t="shared" si="205"/>
        <v>-1</v>
      </c>
      <c r="AY47" s="147">
        <v>-3255.1378</v>
      </c>
      <c r="AZ47" s="349">
        <f>(IFERROR(AY47/AV47-1,0))</f>
        <v>0</v>
      </c>
      <c r="BA47" s="350">
        <f t="shared" si="206"/>
        <v>-680.68966537506742</v>
      </c>
      <c r="BB47" s="147">
        <v>-5421.9760999999999</v>
      </c>
      <c r="BC47" s="349">
        <f>(IFERROR(BB47/AY47-1,0))</f>
        <v>0.66566714932928495</v>
      </c>
      <c r="BD47" s="351">
        <f t="shared" si="207"/>
        <v>-1133.1367473538642</v>
      </c>
      <c r="BE47" s="617">
        <v>-5410.8888230000002</v>
      </c>
      <c r="BF47" s="349">
        <f>(IFERROR(BE47/BB47-1,0))</f>
        <v>-2.0448775124626284E-3</v>
      </c>
      <c r="BG47" s="350">
        <f t="shared" si="201"/>
        <v>0</v>
      </c>
      <c r="BH47" s="618">
        <v>-4888.8070379999999</v>
      </c>
      <c r="BI47" s="349">
        <f>(IFERROR(BH47/BE47-1,0))</f>
        <v>-9.6487250445951411E-2</v>
      </c>
      <c r="BJ47" s="350">
        <f t="shared" si="1"/>
        <v>0</v>
      </c>
      <c r="BK47" s="618">
        <v>-14908.716833</v>
      </c>
      <c r="BL47" s="349">
        <f>(IFERROR(BK47/BH47-1,0))</f>
        <v>2.0495613177441183</v>
      </c>
      <c r="BM47" s="350">
        <f t="shared" si="2"/>
        <v>3.5800570510409733</v>
      </c>
      <c r="BN47" s="618">
        <v>-18253.885541</v>
      </c>
      <c r="BO47" s="349">
        <f>(IFERROR(BN47/BK47-1,0))</f>
        <v>0.22437670159483925</v>
      </c>
      <c r="BP47" s="351">
        <f t="shared" si="3"/>
        <v>2.3666481010493574</v>
      </c>
      <c r="BQ47" s="617">
        <v>2166.4939330000002</v>
      </c>
      <c r="BR47" s="349">
        <f>(IFERROR(BQ47/BN47-1,0))</f>
        <v>-1.1186867271701604</v>
      </c>
      <c r="BS47" s="350">
        <f t="shared" si="25"/>
        <v>-1.4003952037955225</v>
      </c>
      <c r="BT47" s="618">
        <v>3260.1293999999998</v>
      </c>
      <c r="BU47" s="349">
        <f>(IFERROR(BT47/BQ47-1,0))</f>
        <v>0.50479507481731756</v>
      </c>
      <c r="BV47" s="350">
        <f t="shared" si="26"/>
        <v>-1.666855814651607</v>
      </c>
      <c r="BW47" s="618">
        <v>3830.9977199999998</v>
      </c>
      <c r="BX47" s="349">
        <f>(IFERROR(BW47/BT47-1,0))</f>
        <v>0.17510603106735578</v>
      </c>
      <c r="BY47" s="350">
        <f t="shared" si="27"/>
        <v>-1.256963611484001</v>
      </c>
      <c r="BZ47" s="618">
        <v>4814.6642250000004</v>
      </c>
      <c r="CA47" s="349">
        <f>(IFERROR(BZ47/BW47-1,0))</f>
        <v>0.25676509799645619</v>
      </c>
      <c r="CB47" s="351">
        <f t="shared" si="28"/>
        <v>-1.2637610614017381</v>
      </c>
      <c r="CC47" s="617">
        <v>6028</v>
      </c>
      <c r="CD47" s="349">
        <f>(IFERROR(CC47/BZ47-1,0))</f>
        <v>0.25200838901699307</v>
      </c>
      <c r="CE47" s="350">
        <f t="shared" si="203"/>
        <v>1.7823756661311636</v>
      </c>
      <c r="CF47" s="618">
        <v>7584.9667099999997</v>
      </c>
      <c r="CG47" s="349">
        <f t="shared" si="30"/>
        <v>0.25828910252156589</v>
      </c>
      <c r="CH47" s="350">
        <f t="shared" si="31"/>
        <v>0</v>
      </c>
      <c r="CI47" s="618">
        <v>-1920.633503</v>
      </c>
      <c r="CJ47" s="349">
        <f t="shared" si="32"/>
        <v>-1.2532158118067733</v>
      </c>
      <c r="CK47" s="350">
        <f t="shared" si="33"/>
        <v>-0.4099686031724985</v>
      </c>
      <c r="CL47" s="618"/>
      <c r="CM47" s="349">
        <f t="shared" si="34"/>
        <v>-1</v>
      </c>
      <c r="CN47" s="351">
        <f t="shared" si="35"/>
        <v>-1</v>
      </c>
    </row>
    <row r="48" spans="1:93" ht="16.2" customHeight="1" x14ac:dyDescent="0.4">
      <c r="A48" s="156">
        <f t="shared" si="4"/>
        <v>47</v>
      </c>
      <c r="B48" s="32"/>
      <c r="C48" s="33" t="s">
        <v>156</v>
      </c>
      <c r="D48" s="147" t="s">
        <v>284</v>
      </c>
      <c r="E48" s="767">
        <v>-19.459337999999999</v>
      </c>
      <c r="F48" s="768">
        <v>7.6291419999999999</v>
      </c>
      <c r="G48" s="768">
        <v>-12.610791000000001</v>
      </c>
      <c r="H48" s="768">
        <v>-24.396335000000001</v>
      </c>
      <c r="I48" s="777">
        <v>-29.639191</v>
      </c>
      <c r="J48" s="349">
        <f t="shared" si="5"/>
        <v>0.2149034270926351</v>
      </c>
      <c r="K48" s="350">
        <f t="shared" si="6"/>
        <v>0.52313459995401712</v>
      </c>
      <c r="L48" s="147">
        <v>-44.921357999999998</v>
      </c>
      <c r="M48" s="349">
        <f t="shared" si="7"/>
        <v>0.51560675188469207</v>
      </c>
      <c r="N48" s="350">
        <f t="shared" si="8"/>
        <v>-6.8881271314651107</v>
      </c>
      <c r="O48" s="147">
        <v>-37.000903999999998</v>
      </c>
      <c r="P48" s="349">
        <f t="shared" si="9"/>
        <v>-0.1763182226147304</v>
      </c>
      <c r="Q48" s="350">
        <f t="shared" si="10"/>
        <v>1.934066863847002</v>
      </c>
      <c r="R48" s="147">
        <v>-37.639963999999999</v>
      </c>
      <c r="S48" s="349">
        <f t="shared" si="11"/>
        <v>1.7271469907870429E-2</v>
      </c>
      <c r="T48" s="351">
        <f t="shared" si="12"/>
        <v>0.54285321955121524</v>
      </c>
      <c r="U48" s="777">
        <v>-20.865745</v>
      </c>
      <c r="V48" s="349">
        <f>(IFERROR(U48/R48-1,0))</f>
        <v>-0.44564917756031863</v>
      </c>
      <c r="W48" s="350">
        <f t="shared" si="13"/>
        <v>-0.29600828173751437</v>
      </c>
      <c r="X48" s="147">
        <v>-19.432632999999999</v>
      </c>
      <c r="Y48" s="349">
        <f>(IFERROR(X48/U48-1,0))</f>
        <v>-6.8682522478828445E-2</v>
      </c>
      <c r="Z48" s="350">
        <f t="shared" si="14"/>
        <v>-0.56740771283005298</v>
      </c>
      <c r="AA48" s="147">
        <v>-5.0552130000000002</v>
      </c>
      <c r="AB48" s="349">
        <f>(IFERROR(AA48/X48-1,0))</f>
        <v>-0.73985959596931616</v>
      </c>
      <c r="AC48" s="350">
        <f t="shared" si="15"/>
        <v>-0.8633759596792554</v>
      </c>
      <c r="AD48" s="147">
        <v>-28.567205999999999</v>
      </c>
      <c r="AE48" s="349">
        <f>(IFERROR(AD48/AA48-1,0))</f>
        <v>4.6510390363373411</v>
      </c>
      <c r="AF48" s="351">
        <f t="shared" si="16"/>
        <v>-0.24104055997503082</v>
      </c>
      <c r="AG48" s="777">
        <v>-15.16616</v>
      </c>
      <c r="AH48" s="349">
        <f>(IFERROR(AG48/AD48-1,0))</f>
        <v>-0.46910593916674947</v>
      </c>
      <c r="AI48" s="350">
        <f t="shared" si="17"/>
        <v>-0.2731551161964263</v>
      </c>
      <c r="AJ48" s="147">
        <v>-12.134198</v>
      </c>
      <c r="AK48" s="349">
        <f>(IFERROR(AJ48/AG48-1,0))</f>
        <v>-0.19991626093882697</v>
      </c>
      <c r="AL48" s="350">
        <f t="shared" si="18"/>
        <v>-0.37557622788430167</v>
      </c>
      <c r="AM48" s="147">
        <v>11.725914</v>
      </c>
      <c r="AN48" s="349">
        <f>(IFERROR(AM48/AJ48-1,0))</f>
        <v>-1.9663526176184036</v>
      </c>
      <c r="AO48" s="350">
        <f t="shared" si="19"/>
        <v>-3.3195687303383652</v>
      </c>
      <c r="AP48" s="147">
        <v>22.859175</v>
      </c>
      <c r="AQ48" s="349">
        <f>(IFERROR(AP48/AM48-1,0))</f>
        <v>0.94945784183646587</v>
      </c>
      <c r="AR48" s="351">
        <f t="shared" si="20"/>
        <v>-1.8001893849892077</v>
      </c>
      <c r="AS48" s="777">
        <v>40.755913</v>
      </c>
      <c r="AT48" s="349">
        <f>(IFERROR(AS48/AP48-1,0))</f>
        <v>0.78291268166939521</v>
      </c>
      <c r="AU48" s="350">
        <f t="shared" si="204"/>
        <v>-3.6872928282439328</v>
      </c>
      <c r="AV48" s="147">
        <v>61.850673</v>
      </c>
      <c r="AW48" s="349">
        <f>(IFERROR(AV48/AS48-1,0))</f>
        <v>0.51758771788525504</v>
      </c>
      <c r="AX48" s="350">
        <f t="shared" si="205"/>
        <v>-6.0972196926405848</v>
      </c>
      <c r="AY48" s="147">
        <v>101.34120799999999</v>
      </c>
      <c r="AZ48" s="349">
        <f>(IFERROR(AY48/AV48-1,0))</f>
        <v>0.63848189655106902</v>
      </c>
      <c r="BA48" s="350">
        <f t="shared" si="206"/>
        <v>7.6424996806219117</v>
      </c>
      <c r="BB48" s="147">
        <v>38.081536999999997</v>
      </c>
      <c r="BC48" s="349">
        <f>(IFERROR(BB48/AY48-1,0))</f>
        <v>-0.62422456025983042</v>
      </c>
      <c r="BD48" s="351">
        <f t="shared" si="207"/>
        <v>0.66591913312707018</v>
      </c>
      <c r="BE48" s="617">
        <v>76.313284999999993</v>
      </c>
      <c r="BF48" s="349">
        <f>(IFERROR(BE48/BB48-1,0))</f>
        <v>1.0039444573888918</v>
      </c>
      <c r="BG48" s="350">
        <f t="shared" si="201"/>
        <v>0.87244695021308916</v>
      </c>
      <c r="BH48" s="618">
        <v>69.310653000000002</v>
      </c>
      <c r="BI48" s="349">
        <f>(IFERROR(BH48/BE48-1,0))</f>
        <v>-9.1761637570705989E-2</v>
      </c>
      <c r="BJ48" s="350">
        <f t="shared" si="1"/>
        <v>0.12061275388224146</v>
      </c>
      <c r="BK48" s="618">
        <v>84.654872999999995</v>
      </c>
      <c r="BL48" s="349">
        <f>(IFERROR(BK48/BH48-1,0))</f>
        <v>0.22138328432715815</v>
      </c>
      <c r="BM48" s="350">
        <f t="shared" si="2"/>
        <v>-0.16465498417978208</v>
      </c>
      <c r="BN48" s="618">
        <v>62.881940999999998</v>
      </c>
      <c r="BO48" s="349">
        <f>(IFERROR(BN48/BK48-1,0))</f>
        <v>-0.25719644042227785</v>
      </c>
      <c r="BP48" s="351">
        <f t="shared" si="3"/>
        <v>0.65124482764443048</v>
      </c>
      <c r="BQ48" s="617">
        <v>87.134159999999994</v>
      </c>
      <c r="BR48" s="349">
        <f>(IFERROR(BQ48/BN48-1,0))</f>
        <v>0.38567860047449876</v>
      </c>
      <c r="BS48" s="350">
        <f t="shared" si="25"/>
        <v>0.14179542919689547</v>
      </c>
      <c r="BT48" s="618">
        <v>108.75984596400001</v>
      </c>
      <c r="BU48" s="349">
        <f>(IFERROR(BT48/BQ48-1,0))</f>
        <v>0.24818837943695127</v>
      </c>
      <c r="BV48" s="350">
        <f t="shared" si="26"/>
        <v>0.56916493001443813</v>
      </c>
      <c r="BW48" s="618">
        <v>93.175074999999993</v>
      </c>
      <c r="BX48" s="349">
        <f>(IFERROR(BW48/BT48-1,0))</f>
        <v>-0.14329526514002822</v>
      </c>
      <c r="BY48" s="350">
        <f t="shared" si="27"/>
        <v>0.1006463266444213</v>
      </c>
      <c r="BZ48" s="618">
        <v>148.00737699999999</v>
      </c>
      <c r="CA48" s="349">
        <f>(IFERROR(BZ48/BW48-1,0))</f>
        <v>0.58848680293522704</v>
      </c>
      <c r="CB48" s="351">
        <f t="shared" si="28"/>
        <v>1.3537342303094619</v>
      </c>
      <c r="CC48" s="617">
        <v>152</v>
      </c>
      <c r="CD48" s="349">
        <f>(IFERROR(CC48/BZ48-1,0))</f>
        <v>2.697583783273183E-2</v>
      </c>
      <c r="CE48" s="350">
        <f t="shared" si="203"/>
        <v>0.74443639555370722</v>
      </c>
      <c r="CF48" s="618">
        <v>111.309116</v>
      </c>
      <c r="CG48" s="349">
        <f t="shared" si="30"/>
        <v>-0.2677031842105263</v>
      </c>
      <c r="CH48" s="350">
        <f t="shared" si="31"/>
        <v>0.79964276217333974</v>
      </c>
      <c r="CI48" s="618">
        <v>136.05682999999999</v>
      </c>
      <c r="CJ48" s="349">
        <f t="shared" si="32"/>
        <v>0.22233321842211007</v>
      </c>
      <c r="CK48" s="350">
        <f t="shared" si="33"/>
        <v>0.34256175434577418</v>
      </c>
      <c r="CL48" s="618"/>
      <c r="CM48" s="349">
        <f t="shared" si="34"/>
        <v>-1</v>
      </c>
      <c r="CN48" s="351">
        <f t="shared" si="35"/>
        <v>-1</v>
      </c>
    </row>
    <row r="49" spans="1:93" ht="16.2" customHeight="1" x14ac:dyDescent="0.4">
      <c r="A49" s="156">
        <f t="shared" si="4"/>
        <v>48</v>
      </c>
      <c r="B49" s="32"/>
      <c r="C49" s="33" t="s">
        <v>157</v>
      </c>
      <c r="D49" s="34" t="s">
        <v>285</v>
      </c>
      <c r="E49" s="767">
        <v>12548.17022</v>
      </c>
      <c r="F49" s="768">
        <v>16398.090262999998</v>
      </c>
      <c r="G49" s="768">
        <v>19235.430006999999</v>
      </c>
      <c r="H49" s="768">
        <v>25470.489287</v>
      </c>
      <c r="I49" s="777">
        <v>30513.500233999999</v>
      </c>
      <c r="J49" s="349">
        <f t="shared" si="5"/>
        <v>0.19799427055270291</v>
      </c>
      <c r="K49" s="350">
        <f t="shared" si="6"/>
        <v>1.4317091415739496</v>
      </c>
      <c r="L49" s="147">
        <v>38156.172624999999</v>
      </c>
      <c r="M49" s="349">
        <f t="shared" si="7"/>
        <v>0.25046855760205666</v>
      </c>
      <c r="N49" s="350">
        <f t="shared" si="8"/>
        <v>1.3268668493119637</v>
      </c>
      <c r="O49" s="147">
        <v>47667.775866999997</v>
      </c>
      <c r="P49" s="349">
        <f t="shared" si="9"/>
        <v>0.24928085254986954</v>
      </c>
      <c r="Q49" s="350">
        <f t="shared" si="10"/>
        <v>1.4781237461108554</v>
      </c>
      <c r="R49" s="147">
        <v>57996.804024999998</v>
      </c>
      <c r="S49" s="349">
        <f t="shared" si="11"/>
        <v>0.21668785610680663</v>
      </c>
      <c r="T49" s="351">
        <f t="shared" si="12"/>
        <v>1.2770196273615069</v>
      </c>
      <c r="U49" s="777">
        <v>66439.928461000003</v>
      </c>
      <c r="V49" s="349">
        <f>(IFERROR(U49/R49-1,0))</f>
        <v>0.14557913281498291</v>
      </c>
      <c r="W49" s="350">
        <f t="shared" si="13"/>
        <v>1.1773945287000731</v>
      </c>
      <c r="X49" s="147">
        <v>71159.870613000006</v>
      </c>
      <c r="Y49" s="349">
        <f>(IFERROR(X49/U49-1,0))</f>
        <v>7.1040747052739439E-2</v>
      </c>
      <c r="Z49" s="350">
        <f t="shared" si="14"/>
        <v>0.86496353584415653</v>
      </c>
      <c r="AA49" s="147">
        <v>79986.788929999995</v>
      </c>
      <c r="AB49" s="349">
        <f>(IFERROR(AA49/X49-1,0))</f>
        <v>0.12404348463482773</v>
      </c>
      <c r="AC49" s="350">
        <f t="shared" si="15"/>
        <v>0.67800547592517701</v>
      </c>
      <c r="AD49" s="147">
        <v>93200.865967999998</v>
      </c>
      <c r="AE49" s="349">
        <f>(IFERROR(AD49/AA49-1,0))</f>
        <v>0.16520324437032019</v>
      </c>
      <c r="AF49" s="351">
        <f t="shared" si="16"/>
        <v>0.60700003275740855</v>
      </c>
      <c r="AG49" s="777">
        <v>98880.569956000007</v>
      </c>
      <c r="AH49" s="349">
        <f>(IFERROR(AG49/AD49-1,0))</f>
        <v>6.0940463685714041E-2</v>
      </c>
      <c r="AI49" s="350">
        <f t="shared" si="17"/>
        <v>0.48827026528245798</v>
      </c>
      <c r="AJ49" s="147">
        <v>110919.733731</v>
      </c>
      <c r="AK49" s="349">
        <f>(IFERROR(AJ49/AG49-1,0))</f>
        <v>0.12175459526939614</v>
      </c>
      <c r="AL49" s="350">
        <f t="shared" si="18"/>
        <v>0.55873995800571863</v>
      </c>
      <c r="AM49" s="147">
        <v>123443.20976500001</v>
      </c>
      <c r="AN49" s="349">
        <f>(IFERROR(AM49/AJ49-1,0))</f>
        <v>0.1129057527704822</v>
      </c>
      <c r="AO49" s="350">
        <f t="shared" si="19"/>
        <v>0.54329497928752546</v>
      </c>
      <c r="AP49" s="147">
        <v>133122.99226999999</v>
      </c>
      <c r="AQ49" s="349">
        <f>(IFERROR(AP49/AM49-1,0))</f>
        <v>7.8414863996387307E-2</v>
      </c>
      <c r="AR49" s="351">
        <f t="shared" si="20"/>
        <v>0.42834501468802899</v>
      </c>
      <c r="AS49" s="777">
        <v>141668.24279799999</v>
      </c>
      <c r="AT49" s="349">
        <f>(IFERROR(AS49/AP49-1,0))</f>
        <v>6.4190643421449867E-2</v>
      </c>
      <c r="AU49" s="350">
        <f t="shared" si="204"/>
        <v>0.43272073432666991</v>
      </c>
      <c r="AV49" s="147">
        <v>155476.23722099999</v>
      </c>
      <c r="AW49" s="349">
        <f>(IFERROR(AV49/AS49-1,0))</f>
        <v>9.7467111543751983E-2</v>
      </c>
      <c r="AX49" s="350">
        <f t="shared" si="205"/>
        <v>0.40170041877360974</v>
      </c>
      <c r="AY49" s="147">
        <v>174192.45452100001</v>
      </c>
      <c r="AZ49" s="349">
        <f>(IFERROR(AY49/AV49-1,0))</f>
        <v>0.12037992193878511</v>
      </c>
      <c r="BA49" s="350">
        <f t="shared" si="206"/>
        <v>0.41111410544664073</v>
      </c>
      <c r="BB49" s="147">
        <v>204230.32649400001</v>
      </c>
      <c r="BC49" s="349">
        <f>(IFERROR(BB49/AY49-1,0))</f>
        <v>0.1724407182595773</v>
      </c>
      <c r="BD49" s="351">
        <f t="shared" si="207"/>
        <v>0.53414765557387822</v>
      </c>
      <c r="BE49" s="617">
        <v>215534.053396</v>
      </c>
      <c r="BF49" s="349">
        <f>(IFERROR(BE49/BB49-1,0))</f>
        <v>5.5347935324052244E-2</v>
      </c>
      <c r="BG49" s="350">
        <f t="shared" si="201"/>
        <v>0.52139992096409915</v>
      </c>
      <c r="BH49" s="618">
        <v>234092.575984</v>
      </c>
      <c r="BI49" s="349">
        <f>(IFERROR(BH49/BE49-1,0))</f>
        <v>8.6104827963785713E-2</v>
      </c>
      <c r="BJ49" s="350">
        <f t="shared" si="1"/>
        <v>0.50564858121213518</v>
      </c>
      <c r="BK49" s="618">
        <v>255285.99824099999</v>
      </c>
      <c r="BL49" s="349">
        <f>(IFERROR(BK49/BH49-1,0))</f>
        <v>9.0534363031011145E-2</v>
      </c>
      <c r="BM49" s="350">
        <f t="shared" si="2"/>
        <v>0.46553993364978763</v>
      </c>
      <c r="BN49" s="618">
        <v>270984.07803400001</v>
      </c>
      <c r="BO49" s="349">
        <f>(IFERROR(BN49/BK49-1,0))</f>
        <v>6.1492130007774204E-2</v>
      </c>
      <c r="BP49" s="351">
        <f t="shared" si="3"/>
        <v>0.32685523587977583</v>
      </c>
      <c r="BQ49" s="617">
        <v>264274.108183</v>
      </c>
      <c r="BR49" s="349">
        <f>(IFERROR(BQ49/BN49-1,0))</f>
        <v>-2.4761491153580284E-2</v>
      </c>
      <c r="BS49" s="350">
        <f t="shared" si="25"/>
        <v>0.22613621383276294</v>
      </c>
      <c r="BT49" s="618">
        <v>290854.80744496803</v>
      </c>
      <c r="BU49" s="349">
        <f>(IFERROR(BT49/BQ49-1,0))</f>
        <v>0.10058003579965491</v>
      </c>
      <c r="BV49" s="350">
        <f t="shared" si="26"/>
        <v>0.24247770875419672</v>
      </c>
      <c r="BW49" s="618">
        <v>307343.471097</v>
      </c>
      <c r="BX49" s="349">
        <f>(IFERROR(BW49/BT49-1,0))</f>
        <v>5.6690359691413228E-2</v>
      </c>
      <c r="BY49" s="350">
        <f t="shared" si="27"/>
        <v>0.20391824547641546</v>
      </c>
      <c r="BZ49" s="618">
        <v>336059.467641</v>
      </c>
      <c r="CA49" s="349">
        <f>(IFERROR(BZ49/BW49-1,0))</f>
        <v>9.3432915433355745E-2</v>
      </c>
      <c r="CB49" s="351">
        <f t="shared" si="28"/>
        <v>0.24014469809121053</v>
      </c>
      <c r="CC49" s="617">
        <v>349042</v>
      </c>
      <c r="CD49" s="349">
        <f>(IFERROR(CC49/BZ49-1,0))</f>
        <v>3.8631651862487626E-2</v>
      </c>
      <c r="CE49" s="350">
        <f t="shared" si="203"/>
        <v>0.32075746050120579</v>
      </c>
      <c r="CF49" s="618">
        <v>375512.903636</v>
      </c>
      <c r="CG49" s="349">
        <f t="shared" si="30"/>
        <v>7.5838734696684007E-2</v>
      </c>
      <c r="CH49" s="350">
        <f t="shared" si="31"/>
        <v>1.4152430644576981</v>
      </c>
      <c r="CI49" s="618">
        <v>408520.81842281908</v>
      </c>
      <c r="CJ49" s="349">
        <f t="shared" si="32"/>
        <v>8.7900880281906346E-2</v>
      </c>
      <c r="CK49" s="350">
        <f t="shared" si="33"/>
        <v>1.3452268328509565</v>
      </c>
      <c r="CL49" s="618"/>
      <c r="CM49" s="349">
        <f t="shared" si="34"/>
        <v>-1</v>
      </c>
      <c r="CN49" s="351">
        <f t="shared" si="35"/>
        <v>-1</v>
      </c>
    </row>
    <row r="50" spans="1:93" s="31" customFormat="1" ht="16.2" customHeight="1" x14ac:dyDescent="0.4">
      <c r="A50" s="156">
        <f t="shared" si="4"/>
        <v>49</v>
      </c>
      <c r="B50" s="28" t="s">
        <v>28</v>
      </c>
      <c r="C50" s="29"/>
      <c r="D50" s="30" t="s">
        <v>286</v>
      </c>
      <c r="E50" s="770">
        <v>0</v>
      </c>
      <c r="F50" s="771">
        <v>0</v>
      </c>
      <c r="G50" s="771">
        <v>0</v>
      </c>
      <c r="H50" s="771">
        <v>0</v>
      </c>
      <c r="I50" s="776">
        <v>0</v>
      </c>
      <c r="J50" s="352">
        <f t="shared" si="5"/>
        <v>0</v>
      </c>
      <c r="K50" s="353">
        <f t="shared" si="6"/>
        <v>0</v>
      </c>
      <c r="L50" s="148">
        <v>0</v>
      </c>
      <c r="M50" s="352">
        <f t="shared" si="7"/>
        <v>0</v>
      </c>
      <c r="N50" s="353">
        <f t="shared" si="8"/>
        <v>0</v>
      </c>
      <c r="O50" s="148">
        <v>0</v>
      </c>
      <c r="P50" s="352">
        <f t="shared" si="9"/>
        <v>0</v>
      </c>
      <c r="Q50" s="353">
        <f t="shared" si="10"/>
        <v>0</v>
      </c>
      <c r="R50" s="148">
        <v>0</v>
      </c>
      <c r="S50" s="352">
        <f t="shared" si="11"/>
        <v>0</v>
      </c>
      <c r="T50" s="354">
        <f t="shared" si="12"/>
        <v>0</v>
      </c>
      <c r="U50" s="776">
        <v>0</v>
      </c>
      <c r="V50" s="352">
        <v>0</v>
      </c>
      <c r="W50" s="353">
        <f t="shared" si="13"/>
        <v>0</v>
      </c>
      <c r="X50" s="148">
        <v>0</v>
      </c>
      <c r="Y50" s="352">
        <v>0</v>
      </c>
      <c r="Z50" s="353">
        <f t="shared" si="14"/>
        <v>0</v>
      </c>
      <c r="AA50" s="148">
        <v>0</v>
      </c>
      <c r="AB50" s="352">
        <v>0</v>
      </c>
      <c r="AC50" s="353">
        <f t="shared" si="15"/>
        <v>0</v>
      </c>
      <c r="AD50" s="148">
        <v>0</v>
      </c>
      <c r="AE50" s="352">
        <v>0</v>
      </c>
      <c r="AF50" s="354">
        <f t="shared" si="16"/>
        <v>0</v>
      </c>
      <c r="AG50" s="776">
        <v>0</v>
      </c>
      <c r="AH50" s="352">
        <v>0</v>
      </c>
      <c r="AI50" s="353">
        <f t="shared" si="17"/>
        <v>0</v>
      </c>
      <c r="AJ50" s="148">
        <v>0</v>
      </c>
      <c r="AK50" s="352">
        <v>0</v>
      </c>
      <c r="AL50" s="353">
        <f t="shared" si="18"/>
        <v>0</v>
      </c>
      <c r="AM50" s="148">
        <v>0</v>
      </c>
      <c r="AN50" s="352">
        <v>0</v>
      </c>
      <c r="AO50" s="353">
        <f t="shared" si="19"/>
        <v>0</v>
      </c>
      <c r="AP50" s="148">
        <v>0</v>
      </c>
      <c r="AQ50" s="352">
        <v>0</v>
      </c>
      <c r="AR50" s="354">
        <f t="shared" si="20"/>
        <v>0</v>
      </c>
      <c r="AS50" s="776">
        <v>0</v>
      </c>
      <c r="AT50" s="352">
        <v>0</v>
      </c>
      <c r="AU50" s="353">
        <f t="shared" si="204"/>
        <v>0</v>
      </c>
      <c r="AV50" s="148">
        <v>0</v>
      </c>
      <c r="AW50" s="352">
        <v>0</v>
      </c>
      <c r="AX50" s="353">
        <f t="shared" si="205"/>
        <v>0</v>
      </c>
      <c r="AY50" s="148">
        <v>0</v>
      </c>
      <c r="AZ50" s="352">
        <v>0</v>
      </c>
      <c r="BA50" s="353">
        <f t="shared" si="206"/>
        <v>0</v>
      </c>
      <c r="BB50" s="148">
        <v>0</v>
      </c>
      <c r="BC50" s="352">
        <v>0</v>
      </c>
      <c r="BD50" s="354">
        <f t="shared" si="207"/>
        <v>0</v>
      </c>
      <c r="BE50" s="615">
        <v>0</v>
      </c>
      <c r="BF50" s="352">
        <v>0</v>
      </c>
      <c r="BG50" s="353">
        <f t="shared" si="201"/>
        <v>0</v>
      </c>
      <c r="BH50" s="616">
        <v>0</v>
      </c>
      <c r="BI50" s="352">
        <v>0</v>
      </c>
      <c r="BJ50" s="353">
        <f t="shared" si="1"/>
        <v>0</v>
      </c>
      <c r="BK50" s="616">
        <v>0</v>
      </c>
      <c r="BL50" s="352">
        <v>0</v>
      </c>
      <c r="BM50" s="353">
        <f t="shared" si="2"/>
        <v>0</v>
      </c>
      <c r="BN50" s="616">
        <v>0</v>
      </c>
      <c r="BO50" s="352">
        <v>0</v>
      </c>
      <c r="BP50" s="354">
        <f t="shared" si="3"/>
        <v>0</v>
      </c>
      <c r="BQ50" s="615">
        <v>0</v>
      </c>
      <c r="BR50" s="352">
        <v>0</v>
      </c>
      <c r="BS50" s="353">
        <f t="shared" si="25"/>
        <v>0</v>
      </c>
      <c r="BT50" s="616">
        <v>0</v>
      </c>
      <c r="BU50" s="352">
        <v>0</v>
      </c>
      <c r="BV50" s="353">
        <f t="shared" si="26"/>
        <v>0</v>
      </c>
      <c r="BW50" s="616">
        <v>0</v>
      </c>
      <c r="BX50" s="352">
        <v>0</v>
      </c>
      <c r="BY50" s="353">
        <f t="shared" si="27"/>
        <v>0</v>
      </c>
      <c r="BZ50" s="616">
        <v>-1320.893714</v>
      </c>
      <c r="CA50" s="352">
        <v>0</v>
      </c>
      <c r="CB50" s="354">
        <f t="shared" si="28"/>
        <v>0</v>
      </c>
      <c r="CC50" s="615">
        <v>-1412.5163070000001</v>
      </c>
      <c r="CD50" s="352">
        <v>0</v>
      </c>
      <c r="CE50" s="353">
        <f t="shared" si="203"/>
        <v>0</v>
      </c>
      <c r="CF50" s="616">
        <v>-1412.1658050000001</v>
      </c>
      <c r="CG50" s="346">
        <f t="shared" si="30"/>
        <v>-2.4814014412644081E-4</v>
      </c>
      <c r="CH50" s="347">
        <f t="shared" si="31"/>
        <v>0</v>
      </c>
      <c r="CI50" s="616">
        <v>-1324.4921300000001</v>
      </c>
      <c r="CJ50" s="346">
        <f t="shared" si="32"/>
        <v>-6.2084547501134235E-2</v>
      </c>
      <c r="CK50" s="347">
        <f t="shared" si="33"/>
        <v>0</v>
      </c>
      <c r="CL50" s="616"/>
      <c r="CM50" s="346">
        <f t="shared" si="34"/>
        <v>-1</v>
      </c>
      <c r="CN50" s="348">
        <f t="shared" si="35"/>
        <v>0</v>
      </c>
      <c r="CO50" s="21"/>
    </row>
    <row r="51" spans="1:93" s="21" customFormat="1" ht="16.2" customHeight="1" thickBot="1" x14ac:dyDescent="0.45">
      <c r="A51" s="156">
        <f t="shared" si="4"/>
        <v>50</v>
      </c>
      <c r="B51" s="35" t="s">
        <v>129</v>
      </c>
      <c r="C51" s="36"/>
      <c r="D51" s="610" t="s">
        <v>229</v>
      </c>
      <c r="E51" s="772">
        <f>E25+E43</f>
        <v>65258.445512000006</v>
      </c>
      <c r="F51" s="773">
        <f>F25+F43</f>
        <v>67506.482050999999</v>
      </c>
      <c r="G51" s="773">
        <f>G25+G43</f>
        <v>65963.596541999999</v>
      </c>
      <c r="H51" s="773">
        <f>H25+H43</f>
        <v>75677.204371</v>
      </c>
      <c r="I51" s="778">
        <f>I25+I43</f>
        <v>82848.05668400001</v>
      </c>
      <c r="J51" s="355">
        <f t="shared" si="5"/>
        <v>9.4755777153786136E-2</v>
      </c>
      <c r="K51" s="356">
        <f t="shared" si="6"/>
        <v>0.26953769790249682</v>
      </c>
      <c r="L51" s="357">
        <f>L25+L43</f>
        <v>87242.541884999999</v>
      </c>
      <c r="M51" s="355">
        <f t="shared" si="7"/>
        <v>5.3042707057830984E-2</v>
      </c>
      <c r="N51" s="356">
        <f t="shared" si="8"/>
        <v>0.2923579963638121</v>
      </c>
      <c r="O51" s="357">
        <f>O25+O43</f>
        <v>100126.03049199999</v>
      </c>
      <c r="P51" s="355">
        <f t="shared" si="9"/>
        <v>0.14767438371961417</v>
      </c>
      <c r="Q51" s="356">
        <f t="shared" si="10"/>
        <v>0.51789829149549571</v>
      </c>
      <c r="R51" s="357">
        <f>R25+R43</f>
        <v>113657.441301</v>
      </c>
      <c r="S51" s="355">
        <f t="shared" si="11"/>
        <v>0.13514378571195995</v>
      </c>
      <c r="T51" s="358">
        <f t="shared" si="12"/>
        <v>0.50187156417414225</v>
      </c>
      <c r="U51" s="778">
        <f>U25+U43</f>
        <v>125213.273652</v>
      </c>
      <c r="V51" s="355">
        <f>IFERROR(U51/R51-1,0)</f>
        <v>0.10167246612913439</v>
      </c>
      <c r="W51" s="356">
        <f t="shared" si="13"/>
        <v>0.51136041886401618</v>
      </c>
      <c r="X51" s="357">
        <f>X25+X43</f>
        <v>123101.55938000001</v>
      </c>
      <c r="Y51" s="355">
        <f>IFERROR(X51/U51-1,0)</f>
        <v>-1.6864939398270162E-2</v>
      </c>
      <c r="Z51" s="356">
        <f t="shared" si="14"/>
        <v>0.41102673902220865</v>
      </c>
      <c r="AA51" s="357">
        <f>AA25+AA43</f>
        <v>123711.197776</v>
      </c>
      <c r="AB51" s="355">
        <f>IFERROR(AA51/X51-1,0)</f>
        <v>4.9523206616588489E-3</v>
      </c>
      <c r="AC51" s="356">
        <f t="shared" si="15"/>
        <v>0.23555480196415512</v>
      </c>
      <c r="AD51" s="357">
        <f>AD25+AD43</f>
        <v>137526.11636800002</v>
      </c>
      <c r="AE51" s="355">
        <f>IFERROR(AD51/AA51-1,0)</f>
        <v>0.11167072051969185</v>
      </c>
      <c r="AF51" s="358">
        <f t="shared" si="16"/>
        <v>0.21000538806595515</v>
      </c>
      <c r="AG51" s="778">
        <f>AG25+AG43</f>
        <v>148752.202728</v>
      </c>
      <c r="AH51" s="355">
        <f>IFERROR(AG51/AD51-1,0)</f>
        <v>8.1628760096450259E-2</v>
      </c>
      <c r="AI51" s="356">
        <f t="shared" si="17"/>
        <v>0.18799068492866633</v>
      </c>
      <c r="AJ51" s="357">
        <f>AJ25+AJ43</f>
        <v>159020.246201</v>
      </c>
      <c r="AK51" s="355">
        <f>IFERROR(AJ51/AG51-1,0)</f>
        <v>6.90278415021226E-2</v>
      </c>
      <c r="AL51" s="356">
        <f t="shared" si="18"/>
        <v>0.29178092464388072</v>
      </c>
      <c r="AM51" s="357">
        <f>AM25+AM43</f>
        <v>173655.54205699998</v>
      </c>
      <c r="AN51" s="355">
        <f>IFERROR(AM51/AJ51-1,0)</f>
        <v>9.2034166753214075E-2</v>
      </c>
      <c r="AO51" s="356">
        <f t="shared" si="19"/>
        <v>0.40371724774205675</v>
      </c>
      <c r="AP51" s="357">
        <f>AP25+AP43</f>
        <v>216379.20533599998</v>
      </c>
      <c r="AQ51" s="355">
        <f>IFERROR(AP51/AM51-1,0)</f>
        <v>0.24602533712961816</v>
      </c>
      <c r="AR51" s="358">
        <f t="shared" si="20"/>
        <v>0.57336810673109162</v>
      </c>
      <c r="AS51" s="778">
        <f>AS25+AS43</f>
        <v>304075.81478800002</v>
      </c>
      <c r="AT51" s="355">
        <f>IFERROR(AS51/AP51-1,0)</f>
        <v>0.40529130013127723</v>
      </c>
      <c r="AU51" s="356">
        <f t="shared" si="204"/>
        <v>1.044176887545095</v>
      </c>
      <c r="AV51" s="357">
        <f>AV25+AV43</f>
        <v>312182.549673</v>
      </c>
      <c r="AW51" s="355">
        <f>IFERROR(AV51/AS51-1,0)</f>
        <v>2.6660242251268729E-2</v>
      </c>
      <c r="AX51" s="356">
        <f t="shared" si="205"/>
        <v>0.96316228361515921</v>
      </c>
      <c r="AY51" s="357">
        <f>AY25+AY43</f>
        <v>334294.15941900003</v>
      </c>
      <c r="AZ51" s="355">
        <f>IFERROR(AY51/AV51-1,0)</f>
        <v>7.0829102296592561E-2</v>
      </c>
      <c r="BA51" s="356">
        <f t="shared" si="206"/>
        <v>0.92504169725416929</v>
      </c>
      <c r="BB51" s="357">
        <f>BB25+BB43</f>
        <v>331411.10829900001</v>
      </c>
      <c r="BC51" s="355">
        <f>IFERROR(BB51/AY51-1,0)</f>
        <v>-8.6242940200054186E-3</v>
      </c>
      <c r="BD51" s="358">
        <f t="shared" si="207"/>
        <v>0.5316218015699572</v>
      </c>
      <c r="BE51" s="619">
        <f>BE25+BE43</f>
        <v>352378.25723500003</v>
      </c>
      <c r="BF51" s="355">
        <f>IFERROR(BE51/BB51-1,0)</f>
        <v>6.3266282906496274E-2</v>
      </c>
      <c r="BG51" s="356">
        <f t="shared" si="201"/>
        <v>0.15884999759246288</v>
      </c>
      <c r="BH51" s="620">
        <f>BH25+BH43</f>
        <v>359536.76952600002</v>
      </c>
      <c r="BI51" s="355">
        <f>IFERROR(BH51/BE51-1,0)</f>
        <v>2.0314852417883333E-2</v>
      </c>
      <c r="BJ51" s="356">
        <f t="shared" si="1"/>
        <v>0.15168759401382892</v>
      </c>
      <c r="BK51" s="620">
        <f>BK25+BK43</f>
        <v>363110.049245</v>
      </c>
      <c r="BL51" s="355">
        <f>IFERROR(BK51/BH51-1,0)</f>
        <v>9.9385654594128514E-3</v>
      </c>
      <c r="BM51" s="356">
        <f t="shared" si="2"/>
        <v>8.6199202152025922E-2</v>
      </c>
      <c r="BN51" s="620">
        <f>BN25+BN43</f>
        <v>375443.02175399999</v>
      </c>
      <c r="BO51" s="355">
        <f>IFERROR(BN51/BK51-1,0)</f>
        <v>3.3964833897170976E-2</v>
      </c>
      <c r="BP51" s="358">
        <f t="shared" si="3"/>
        <v>0.13286191184416873</v>
      </c>
      <c r="BQ51" s="619">
        <f>BQ25+BQ43</f>
        <v>402862.55731200002</v>
      </c>
      <c r="BR51" s="355">
        <f>IFERROR(BQ51/BN51-1,0)</f>
        <v>7.303248154647024E-2</v>
      </c>
      <c r="BS51" s="356">
        <f t="shared" si="25"/>
        <v>0.14326735273945168</v>
      </c>
      <c r="BT51" s="620">
        <f>BT25+BT43</f>
        <v>418525.08781293203</v>
      </c>
      <c r="BU51" s="355">
        <f>IFERROR(BT51/BQ51-1,0)</f>
        <v>3.8878099283875756E-2</v>
      </c>
      <c r="BV51" s="356">
        <f t="shared" si="26"/>
        <v>0.16406755382683125</v>
      </c>
      <c r="BW51" s="620">
        <f>BW25+BW43</f>
        <v>433669.19069299998</v>
      </c>
      <c r="BX51" s="355">
        <f>IFERROR(BW51/BT51-1,0)</f>
        <v>3.6184456609771765E-2</v>
      </c>
      <c r="BY51" s="356">
        <f t="shared" si="27"/>
        <v>0.19431888925880947</v>
      </c>
      <c r="BZ51" s="620">
        <f>BZ25+BZ43</f>
        <v>608378.81883100001</v>
      </c>
      <c r="CA51" s="355">
        <f>IFERROR(BZ51/BW51-1,0)</f>
        <v>0.40286382313397784</v>
      </c>
      <c r="CB51" s="358">
        <f t="shared" si="28"/>
        <v>0.62042915590431624</v>
      </c>
      <c r="CC51" s="619">
        <f>CC25+CC43</f>
        <v>631905.10569300002</v>
      </c>
      <c r="CD51" s="355">
        <f>IFERROR(CC51/BZ51-1,0)</f>
        <v>3.8670456849904333E-2</v>
      </c>
      <c r="CE51" s="356">
        <f t="shared" si="203"/>
        <v>0.56853769163664469</v>
      </c>
      <c r="CF51" s="620">
        <f>CF25+CF43</f>
        <v>626554.49929499999</v>
      </c>
      <c r="CG51" s="355">
        <f t="shared" si="30"/>
        <v>-8.4674207405431856E-3</v>
      </c>
      <c r="CH51" s="356">
        <f t="shared" si="31"/>
        <v>1.0070132041374293</v>
      </c>
      <c r="CI51" s="620">
        <f>CI25+CI43</f>
        <v>654403.55809181905</v>
      </c>
      <c r="CJ51" s="355">
        <f t="shared" si="32"/>
        <v>4.4447943200718987E-2</v>
      </c>
      <c r="CK51" s="356">
        <f t="shared" si="33"/>
        <v>0.95756802700102805</v>
      </c>
      <c r="CL51" s="620"/>
      <c r="CM51" s="355">
        <f t="shared" si="34"/>
        <v>-1</v>
      </c>
      <c r="CN51" s="358">
        <f t="shared" si="35"/>
        <v>-1</v>
      </c>
    </row>
    <row r="52" spans="1:93" ht="16.2" customHeight="1" x14ac:dyDescent="0.4">
      <c r="A52" s="759"/>
      <c r="E52" s="336" t="b">
        <f t="shared" ref="E52:I52" si="231">ROUND(E51,0)=ROUND(E3,0)</f>
        <v>1</v>
      </c>
      <c r="F52" s="336" t="b">
        <f t="shared" si="231"/>
        <v>1</v>
      </c>
      <c r="G52" s="336" t="b">
        <f t="shared" si="231"/>
        <v>1</v>
      </c>
      <c r="H52" s="336" t="b">
        <f t="shared" si="231"/>
        <v>1</v>
      </c>
      <c r="I52" s="336" t="b">
        <f t="shared" si="231"/>
        <v>1</v>
      </c>
      <c r="L52" s="336" t="b">
        <f t="shared" ref="L52" si="232">ROUND(L51,0)=ROUND(L3,0)</f>
        <v>1</v>
      </c>
      <c r="O52" s="336" t="b">
        <f t="shared" ref="O52" si="233">ROUND(O51,0)=ROUND(O3,0)</f>
        <v>1</v>
      </c>
      <c r="R52" s="336" t="b">
        <f t="shared" ref="R52" si="234">ROUND(R51,0)=ROUND(R3,0)</f>
        <v>1</v>
      </c>
      <c r="U52" s="336" t="b">
        <f t="shared" ref="U52" si="235">ROUND(U51,0)=ROUND(U3,0)</f>
        <v>1</v>
      </c>
      <c r="X52" s="336" t="b">
        <f t="shared" ref="X52" si="236">ROUND(X51,0)=ROUND(X3,0)</f>
        <v>1</v>
      </c>
      <c r="AA52" s="336" t="b">
        <f t="shared" ref="AA52" si="237">ROUND(AA51,0)=ROUND(AA3,0)</f>
        <v>1</v>
      </c>
      <c r="AD52" s="336" t="b">
        <f t="shared" ref="AD52" si="238">ROUND(AD51,0)=ROUND(AD3,0)</f>
        <v>1</v>
      </c>
      <c r="AG52" s="336" t="b">
        <f t="shared" ref="AG52" si="239">ROUND(AG51,0)=ROUND(AG3,0)</f>
        <v>1</v>
      </c>
      <c r="AJ52" s="336" t="b">
        <f t="shared" ref="AJ52" si="240">ROUND(AJ51,0)=ROUND(AJ3,0)</f>
        <v>1</v>
      </c>
      <c r="AM52" s="336" t="b">
        <f t="shared" ref="AM52" si="241">ROUND(AM51,0)=ROUND(AM3,0)</f>
        <v>1</v>
      </c>
      <c r="AP52" s="336" t="b">
        <f t="shared" ref="AP52" si="242">ROUND(AP51,0)=ROUND(AP3,0)</f>
        <v>1</v>
      </c>
      <c r="AS52" s="336" t="b">
        <f t="shared" ref="AS52" si="243">ROUND(AS51,0)=ROUND(AS3,0)</f>
        <v>1</v>
      </c>
      <c r="AV52" s="336" t="b">
        <f t="shared" ref="AV52" si="244">ROUND(AV51,0)=ROUND(AV3,0)</f>
        <v>1</v>
      </c>
      <c r="AY52" s="336" t="b">
        <f t="shared" ref="AY52" si="245">ROUND(AY51,0)=ROUND(AY3,0)</f>
        <v>1</v>
      </c>
      <c r="BB52" s="336" t="b">
        <f t="shared" ref="BB52" si="246">ROUND(BB51,0)=ROUND(BB3,0)</f>
        <v>1</v>
      </c>
      <c r="BE52" s="336" t="b">
        <f t="shared" ref="BE52" si="247">ROUND(BE51,0)=ROUND(BE3,0)</f>
        <v>1</v>
      </c>
      <c r="BH52" s="336" t="b">
        <f t="shared" ref="BH52" si="248">ROUND(BH51,0)=ROUND(BH3,0)</f>
        <v>1</v>
      </c>
      <c r="BK52" s="336" t="b">
        <f>ROUND(BK51,0)=ROUND(BK3,0)</f>
        <v>1</v>
      </c>
      <c r="BN52" s="336" t="b">
        <f>ROUND(BN51,0)=ROUND(BN3,0)</f>
        <v>1</v>
      </c>
      <c r="BQ52" s="336" t="b">
        <f>ROUND(BQ51,0)=ROUND(BQ3,0)</f>
        <v>1</v>
      </c>
      <c r="BT52" s="336" t="b">
        <f>ROUND(BT51,0)=ROUND(BT3,0)</f>
        <v>1</v>
      </c>
      <c r="BW52" s="336" t="b">
        <f>ROUND(BW51,0)=ROUND(BW3,0)</f>
        <v>1</v>
      </c>
      <c r="BZ52" s="336" t="b">
        <f>ROUND(BZ51,0)=ROUND(BZ3,0)</f>
        <v>1</v>
      </c>
      <c r="CC52" s="336" t="b">
        <f>ROUND(CC51,0)=ROUND(CC3,0)</f>
        <v>1</v>
      </c>
      <c r="CF52" s="336" t="b">
        <f>ROUND(CF51,0)=ROUND(CF3,0)</f>
        <v>1</v>
      </c>
      <c r="CI52" s="336" t="b">
        <f>ROUND(CI51,0)=ROUND(CI3,0)</f>
        <v>1</v>
      </c>
    </row>
    <row r="53" spans="1:93" ht="16.2" customHeight="1" x14ac:dyDescent="0.4">
      <c r="A53" s="157"/>
      <c r="E53" s="774"/>
    </row>
    <row r="54" spans="1:93" ht="16.2" customHeight="1" x14ac:dyDescent="0.4">
      <c r="A54" s="160"/>
      <c r="C54" s="11" t="s">
        <v>158</v>
      </c>
      <c r="D54" s="11" t="s">
        <v>502</v>
      </c>
      <c r="E54" s="337"/>
      <c r="F54" s="337"/>
      <c r="G54" s="337"/>
      <c r="H54" s="337"/>
      <c r="I54" s="337"/>
      <c r="L54" s="337"/>
      <c r="O54" s="337"/>
      <c r="R54" s="337"/>
      <c r="U54" s="337"/>
      <c r="X54" s="337"/>
      <c r="AA54" s="337"/>
      <c r="AD54" s="337"/>
      <c r="AG54" s="337"/>
      <c r="AJ54" s="337"/>
      <c r="AM54" s="337"/>
      <c r="AP54" s="337"/>
      <c r="AS54" s="337"/>
      <c r="AV54" s="337"/>
      <c r="AY54" s="337"/>
      <c r="BB54" s="337"/>
      <c r="BE54" s="337"/>
      <c r="BH54" s="337"/>
      <c r="BK54" s="337"/>
      <c r="BN54" s="337"/>
      <c r="BQ54" s="337"/>
      <c r="BT54" s="337"/>
      <c r="BW54" s="337"/>
      <c r="BZ54" s="337"/>
      <c r="CC54" s="337"/>
      <c r="CF54" s="337"/>
      <c r="CI54" s="337"/>
      <c r="CL54" s="337"/>
    </row>
    <row r="55" spans="1:93" ht="16.2" customHeight="1" x14ac:dyDescent="0.4">
      <c r="A55" s="160"/>
      <c r="C55" s="801" t="s">
        <v>14</v>
      </c>
      <c r="D55" s="802" t="s">
        <v>15</v>
      </c>
      <c r="E55" s="337"/>
      <c r="F55" s="337"/>
      <c r="G55" s="337"/>
      <c r="H55" s="147"/>
      <c r="I55" s="147"/>
      <c r="K55" s="147"/>
      <c r="L55" s="147"/>
      <c r="N55" s="147"/>
      <c r="O55" s="147"/>
      <c r="Q55" s="147"/>
      <c r="R55" s="147"/>
      <c r="T55" s="147"/>
      <c r="U55" s="147"/>
      <c r="W55" s="147"/>
      <c r="X55" s="147"/>
      <c r="Z55" s="147"/>
      <c r="AA55" s="147"/>
      <c r="AC55" s="147"/>
      <c r="AD55" s="337"/>
      <c r="AG55" s="337"/>
      <c r="AJ55" s="337"/>
      <c r="AM55" s="337"/>
      <c r="AP55" s="805">
        <f>ROUND(AP10,0)</f>
        <v>16465</v>
      </c>
      <c r="AQ55" s="806"/>
      <c r="AR55" s="807"/>
      <c r="AS55" s="805">
        <f>ROUND(AS10,0)</f>
        <v>18897</v>
      </c>
      <c r="AT55" s="806">
        <f>IFERROR(AS55/AP55-1,0)</f>
        <v>0.14770725781961747</v>
      </c>
      <c r="AU55" s="812"/>
      <c r="AV55" s="813">
        <f>ROUND(AV10,0)</f>
        <v>22426</v>
      </c>
      <c r="AW55" s="806">
        <f>IFERROR(AV55/AS55-1,0)</f>
        <v>0.1867492194528233</v>
      </c>
      <c r="AX55" s="812"/>
      <c r="AY55" s="813">
        <f>ROUND(AY10,0)</f>
        <v>25110</v>
      </c>
      <c r="AZ55" s="806">
        <f>IFERROR(AY55/AV55-1,0)</f>
        <v>0.11968251137073049</v>
      </c>
      <c r="BA55" s="812"/>
      <c r="BB55" s="813">
        <f>ROUND(BB10,0)</f>
        <v>23398</v>
      </c>
      <c r="BC55" s="806">
        <f>IFERROR(BB55/AY55-1,0)</f>
        <v>-6.8180007964954159E-2</v>
      </c>
      <c r="BD55" s="807"/>
      <c r="BE55" s="805">
        <f t="shared" ref="BE55" si="249">ROUND(BE10,0)</f>
        <v>22445</v>
      </c>
      <c r="BF55" s="806">
        <f>IFERROR(BE55/BB55-1,0)</f>
        <v>-4.0729976921104361E-2</v>
      </c>
      <c r="BG55" s="812">
        <f t="shared" ref="BG55:BG61" si="250">IFERROR(BE55/AS55-1,)</f>
        <v>0.18775467005344759</v>
      </c>
      <c r="BH55" s="813">
        <f t="shared" ref="BH55" si="251">ROUND(BH10,0)</f>
        <v>22394</v>
      </c>
      <c r="BI55" s="806">
        <f>IFERROR(BH55/BE55-1,0)</f>
        <v>-2.2722209846290919E-3</v>
      </c>
      <c r="BJ55" s="812">
        <f t="shared" ref="BJ55:BJ61" si="252">IFERROR(BH55/AV55-1,)</f>
        <v>-1.426915187728528E-3</v>
      </c>
      <c r="BK55" s="813">
        <f>ROUND(BK10,0)</f>
        <v>21607</v>
      </c>
      <c r="BL55" s="806">
        <f>IFERROR(BK55/BH55-1,0)</f>
        <v>-3.5143341966598185E-2</v>
      </c>
      <c r="BM55" s="812">
        <f t="shared" ref="BM55:BM61" si="253">IFERROR(BK55/AY55-1,)</f>
        <v>-0.13950617283950617</v>
      </c>
      <c r="BN55" s="813">
        <f>ROUND(BN10,0)</f>
        <v>19434</v>
      </c>
      <c r="BO55" s="806">
        <f>IFERROR(BN55/BK55-1,0)</f>
        <v>-0.10056925996204935</v>
      </c>
      <c r="BP55" s="807">
        <f t="shared" ref="BP55:BP61" si="254">IFERROR(BN55/BB55-1,)</f>
        <v>-0.16941618941789893</v>
      </c>
      <c r="BQ55" s="805">
        <f t="shared" ref="BQ55" si="255">ROUND(BQ10,0)</f>
        <v>19356</v>
      </c>
      <c r="BR55" s="806">
        <f>IFERROR(BQ55/BN55-1,0)</f>
        <v>-4.0135844396418374E-3</v>
      </c>
      <c r="BS55" s="812">
        <f t="shared" ref="BS55:BS61" si="256">IFERROR(BQ55/BE55-1,)</f>
        <v>-0.13762530630429937</v>
      </c>
      <c r="BT55" s="813">
        <f t="shared" ref="BT55" si="257">ROUND(BT10,0)</f>
        <v>17860</v>
      </c>
      <c r="BU55" s="806">
        <f>IFERROR(BT55/BQ55-1,0)</f>
        <v>-7.7288696011572622E-2</v>
      </c>
      <c r="BV55" s="812">
        <f t="shared" ref="BV55:BV61" si="258">IFERROR(BT55/BH55-1,)</f>
        <v>-0.20246494596766995</v>
      </c>
      <c r="BW55" s="813">
        <f t="shared" ref="BW55" si="259">ROUND(BW10,0)</f>
        <v>16737</v>
      </c>
      <c r="BX55" s="806">
        <f>IFERROR(BW55/BT55-1,0)</f>
        <v>-6.2877939529675242E-2</v>
      </c>
      <c r="BY55" s="812">
        <f t="shared" ref="BY55:BY61" si="260">IFERROR(BW55/BK55-1,)</f>
        <v>-0.22538991993335489</v>
      </c>
      <c r="BZ55" s="813">
        <f t="shared" ref="BZ55" si="261">ROUND(BZ10,0)</f>
        <v>30000</v>
      </c>
      <c r="CA55" s="806">
        <f>IFERROR(BZ55/BW55-1,0)</f>
        <v>0.7924359204158451</v>
      </c>
      <c r="CB55" s="807">
        <f t="shared" ref="CB55:CB61" si="262">IFERROR(BZ55/BN55-1,)</f>
        <v>0.54368632293917885</v>
      </c>
      <c r="CC55" s="805">
        <f>ROUND(CC10,0)</f>
        <v>30415</v>
      </c>
      <c r="CD55" s="806">
        <f>IFERROR(CC55/BZ55-1,0)</f>
        <v>1.3833333333333364E-2</v>
      </c>
      <c r="CE55" s="812">
        <f t="shared" ref="CE55" si="263">IFERROR(CC55/BQ55-1,)</f>
        <v>0.57134738582351718</v>
      </c>
      <c r="CF55" s="805">
        <f>ROUND(CF10,0)</f>
        <v>30085</v>
      </c>
      <c r="CG55" s="806">
        <f>IFERROR(CF55/CC55-1,0)</f>
        <v>-1.0849909584086825E-2</v>
      </c>
      <c r="CH55" s="812">
        <f t="shared" ref="CH55:CH61" si="264">IFERROR(CF55/BT55-1,)</f>
        <v>0.68449048152295622</v>
      </c>
      <c r="CI55" s="805">
        <f>ROUND(CI10,0)</f>
        <v>31261</v>
      </c>
      <c r="CJ55" s="806">
        <f>IFERROR(CI55/CF55-1,0)</f>
        <v>3.9089247133122784E-2</v>
      </c>
      <c r="CK55" s="812">
        <f t="shared" ref="CK55:CK61" si="265">IFERROR(CI55/BW55-1,)</f>
        <v>0.86777797693732439</v>
      </c>
      <c r="CL55" s="813"/>
      <c r="CM55" s="806"/>
      <c r="CN55" s="807"/>
    </row>
    <row r="56" spans="1:93" ht="16.2" customHeight="1" x14ac:dyDescent="0.4">
      <c r="A56" s="157"/>
      <c r="C56" s="799" t="s">
        <v>29</v>
      </c>
      <c r="D56" s="798" t="s">
        <v>71</v>
      </c>
      <c r="E56" s="337"/>
      <c r="F56" s="337"/>
      <c r="G56" s="337"/>
      <c r="H56" s="147"/>
      <c r="I56" s="147"/>
      <c r="K56" s="147"/>
      <c r="L56" s="147"/>
      <c r="N56" s="147"/>
      <c r="O56" s="147"/>
      <c r="Q56" s="147"/>
      <c r="R56" s="147"/>
      <c r="T56" s="147"/>
      <c r="U56" s="147"/>
      <c r="W56" s="147"/>
      <c r="X56" s="147"/>
      <c r="Z56" s="147"/>
      <c r="AA56" s="147"/>
      <c r="AC56" s="147"/>
      <c r="AD56" s="337"/>
      <c r="AG56" s="337"/>
      <c r="AJ56" s="337"/>
      <c r="AM56" s="337"/>
      <c r="AP56" s="808">
        <v>4604.2659999999996</v>
      </c>
      <c r="AQ56" s="349"/>
      <c r="AR56" s="800"/>
      <c r="AS56" s="808">
        <v>4851.0420000000004</v>
      </c>
      <c r="AT56" s="349">
        <f t="shared" ref="AT56:AT61" si="266">IFERROR(AS56/AP56-1,0)</f>
        <v>5.3597250897320148E-2</v>
      </c>
      <c r="AU56" s="350"/>
      <c r="AV56" s="618">
        <v>4974.872738</v>
      </c>
      <c r="AW56" s="349">
        <f t="shared" ref="AW56:AW61" si="267">IFERROR(AV56/AS56-1,0)</f>
        <v>2.5526626650521633E-2</v>
      </c>
      <c r="AX56" s="350"/>
      <c r="AY56" s="618">
        <v>6369.4154689999996</v>
      </c>
      <c r="AZ56" s="349">
        <f t="shared" ref="AZ56:AZ61" si="268">IFERROR(AY56/AV56-1,0)</f>
        <v>0.28031726728363182</v>
      </c>
      <c r="BA56" s="350"/>
      <c r="BB56" s="618">
        <v>5738.9257939999998</v>
      </c>
      <c r="BC56" s="349">
        <f t="shared" ref="BC56:BC61" si="269">IFERROR(BB56/AY56-1,0)</f>
        <v>-9.8987054317401402E-2</v>
      </c>
      <c r="BD56" s="800"/>
      <c r="BE56" s="808">
        <v>4616.30206</v>
      </c>
      <c r="BF56" s="349">
        <f t="shared" ref="BF56:BF61" si="270">IFERROR(BE56/BB56-1,0)</f>
        <v>-0.19561565601243591</v>
      </c>
      <c r="BG56" s="350">
        <f t="shared" si="250"/>
        <v>-4.8389591349652372E-2</v>
      </c>
      <c r="BH56" s="618">
        <v>5433.2248920000002</v>
      </c>
      <c r="BI56" s="349">
        <f t="shared" ref="BI56:BI61" si="271">IFERROR(BH56/BE56-1,0)</f>
        <v>0.17696476993535382</v>
      </c>
      <c r="BJ56" s="350">
        <f t="shared" si="252"/>
        <v>9.2133443032407447E-2</v>
      </c>
      <c r="BK56" s="618">
        <v>5799.1417949999995</v>
      </c>
      <c r="BL56" s="349">
        <f t="shared" ref="BL56:BL61" si="272">IFERROR(BK56/BH56-1,0)</f>
        <v>6.7348013430988951E-2</v>
      </c>
      <c r="BM56" s="350">
        <f t="shared" si="253"/>
        <v>-8.9533125414023806E-2</v>
      </c>
      <c r="BN56" s="618">
        <v>5871.0150000000003</v>
      </c>
      <c r="BO56" s="349">
        <f t="shared" ref="BO56:BO61" si="273">IFERROR(BN56/BK56-1,0)</f>
        <v>1.2393765757196862E-2</v>
      </c>
      <c r="BP56" s="800">
        <f t="shared" si="254"/>
        <v>2.3016364166635217E-2</v>
      </c>
      <c r="BQ56" s="808">
        <v>4758.2633740000001</v>
      </c>
      <c r="BR56" s="349">
        <f t="shared" ref="BR56:BR61" si="274">IFERROR(BQ56/BN56-1,0)</f>
        <v>-0.18953309197813328</v>
      </c>
      <c r="BS56" s="350">
        <f t="shared" si="256"/>
        <v>3.0752171793541727E-2</v>
      </c>
      <c r="BT56" s="618">
        <v>4740.9804660000009</v>
      </c>
      <c r="BU56" s="349">
        <f t="shared" ref="BU56:BU61" si="275">IFERROR(BT56/BQ56-1,0)</f>
        <v>-3.6321881832847014E-3</v>
      </c>
      <c r="BV56" s="350">
        <f t="shared" si="258"/>
        <v>-0.12740949247642508</v>
      </c>
      <c r="BW56" s="618">
        <v>4173.4588599999997</v>
      </c>
      <c r="BX56" s="349">
        <f t="shared" ref="BX56:BX61" si="276">IFERROR(BW56/BT56-1,0)</f>
        <v>-0.11970553561019481</v>
      </c>
      <c r="BY56" s="350">
        <f t="shared" si="260"/>
        <v>-0.28033164086480145</v>
      </c>
      <c r="BZ56" s="618">
        <v>11507.050241999999</v>
      </c>
      <c r="CA56" s="349">
        <f t="shared" ref="CA56:CA61" si="277">IFERROR(BZ56/BW56-1,0)</f>
        <v>1.7571974776816179</v>
      </c>
      <c r="CB56" s="800">
        <f t="shared" si="262"/>
        <v>0.9599762974545285</v>
      </c>
      <c r="CC56" s="808">
        <v>9508</v>
      </c>
      <c r="CD56" s="349">
        <f t="shared" ref="CD56:CD61" si="278">IFERROR(CC56/BZ56-1,0)</f>
        <v>-0.17372395183464073</v>
      </c>
      <c r="CE56" s="350">
        <f t="shared" ref="CE56:CE61" si="279">IFERROR(CC56/BQ56-1,)</f>
        <v>0.99820801260254077</v>
      </c>
      <c r="CF56" s="808">
        <v>9487</v>
      </c>
      <c r="CG56" s="349">
        <f t="shared" ref="CG56:CG61" si="280">IFERROR(CF56/CC56-1,0)</f>
        <v>-2.2086663862010969E-3</v>
      </c>
      <c r="CH56" s="350">
        <f t="shared" si="264"/>
        <v>1.0010628746598167</v>
      </c>
      <c r="CI56" s="808">
        <v>9954.2750758191141</v>
      </c>
      <c r="CJ56" s="349">
        <f t="shared" ref="CJ56:CJ61" si="281">IFERROR(CI56/CF56-1,0)</f>
        <v>4.9254250639729547E-2</v>
      </c>
      <c r="CK56" s="350">
        <f t="shared" si="265"/>
        <v>1.3851379418699037</v>
      </c>
      <c r="CL56" s="618"/>
      <c r="CM56" s="349"/>
      <c r="CN56" s="800"/>
    </row>
    <row r="57" spans="1:93" ht="16.2" customHeight="1" x14ac:dyDescent="0.4">
      <c r="A57" s="161"/>
      <c r="C57" s="799" t="s">
        <v>30</v>
      </c>
      <c r="D57" s="798" t="s">
        <v>72</v>
      </c>
      <c r="E57" s="337"/>
      <c r="F57" s="337"/>
      <c r="G57" s="337"/>
      <c r="H57" s="147"/>
      <c r="I57" s="147"/>
      <c r="K57" s="147"/>
      <c r="L57" s="147"/>
      <c r="N57" s="147"/>
      <c r="O57" s="147"/>
      <c r="Q57" s="147"/>
      <c r="R57" s="147"/>
      <c r="T57" s="147"/>
      <c r="U57" s="147"/>
      <c r="W57" s="147"/>
      <c r="X57" s="147"/>
      <c r="Z57" s="147"/>
      <c r="AA57" s="147"/>
      <c r="AC57" s="147"/>
      <c r="AD57" s="337"/>
      <c r="AG57" s="337"/>
      <c r="AJ57" s="337"/>
      <c r="AM57" s="337"/>
      <c r="AP57" s="808">
        <v>1830.5260000000001</v>
      </c>
      <c r="AQ57" s="349"/>
      <c r="AR57" s="800"/>
      <c r="AS57" s="808">
        <v>2491.6460000000002</v>
      </c>
      <c r="AT57" s="349">
        <f t="shared" si="266"/>
        <v>0.36116394959700115</v>
      </c>
      <c r="AU57" s="350"/>
      <c r="AV57" s="618">
        <v>3631.4517209999999</v>
      </c>
      <c r="AW57" s="349">
        <f t="shared" si="267"/>
        <v>0.45745090634865448</v>
      </c>
      <c r="AX57" s="350"/>
      <c r="AY57" s="618">
        <v>3738.6529999999998</v>
      </c>
      <c r="AZ57" s="349">
        <f t="shared" si="268"/>
        <v>2.9520226960494833E-2</v>
      </c>
      <c r="BA57" s="350"/>
      <c r="BB57" s="618">
        <v>3045.7473890000001</v>
      </c>
      <c r="BC57" s="349">
        <f t="shared" si="269"/>
        <v>-0.18533563050649515</v>
      </c>
      <c r="BD57" s="800"/>
      <c r="BE57" s="808">
        <v>2844.3973329999999</v>
      </c>
      <c r="BF57" s="349">
        <f t="shared" si="270"/>
        <v>-6.6108586919320533E-2</v>
      </c>
      <c r="BG57" s="350">
        <f t="shared" si="250"/>
        <v>0.14157361559386827</v>
      </c>
      <c r="BH57" s="618">
        <v>3004.0402510000004</v>
      </c>
      <c r="BI57" s="349">
        <f t="shared" si="271"/>
        <v>5.6125392942772967E-2</v>
      </c>
      <c r="BJ57" s="350">
        <f t="shared" si="252"/>
        <v>-0.17277153001148204</v>
      </c>
      <c r="BK57" s="618">
        <v>2897.5369819999996</v>
      </c>
      <c r="BL57" s="349">
        <f t="shared" si="272"/>
        <v>-3.5453342865345183E-2</v>
      </c>
      <c r="BM57" s="350">
        <f t="shared" si="253"/>
        <v>-0.22497835931818233</v>
      </c>
      <c r="BN57" s="618">
        <v>2695.67</v>
      </c>
      <c r="BO57" s="349">
        <f t="shared" si="273"/>
        <v>-6.966847472664961E-2</v>
      </c>
      <c r="BP57" s="800">
        <f t="shared" si="254"/>
        <v>-0.11493973212103448</v>
      </c>
      <c r="BQ57" s="808">
        <v>2890.2065440000001</v>
      </c>
      <c r="BR57" s="349">
        <f t="shared" si="274"/>
        <v>7.2166305222820304E-2</v>
      </c>
      <c r="BS57" s="350">
        <f t="shared" si="256"/>
        <v>1.6105067484255109E-2</v>
      </c>
      <c r="BT57" s="618">
        <v>1990.112517</v>
      </c>
      <c r="BU57" s="349">
        <f t="shared" si="275"/>
        <v>-0.31142896305060752</v>
      </c>
      <c r="BV57" s="350">
        <f t="shared" si="258"/>
        <v>-0.33752135433687314</v>
      </c>
      <c r="BW57" s="618">
        <v>1917.32312</v>
      </c>
      <c r="BX57" s="349">
        <f t="shared" si="276"/>
        <v>-3.6575518408238805E-2</v>
      </c>
      <c r="BY57" s="350">
        <f t="shared" si="260"/>
        <v>-0.33829209707736518</v>
      </c>
      <c r="BZ57" s="618">
        <v>4049.4464800000001</v>
      </c>
      <c r="CA57" s="349">
        <f t="shared" si="277"/>
        <v>1.1120313199999381</v>
      </c>
      <c r="CB57" s="800">
        <f t="shared" si="262"/>
        <v>0.50220408284396822</v>
      </c>
      <c r="CC57" s="808">
        <v>3901</v>
      </c>
      <c r="CD57" s="349">
        <f t="shared" si="278"/>
        <v>-3.6658462022691074E-2</v>
      </c>
      <c r="CE57" s="350">
        <f t="shared" si="279"/>
        <v>0.34973052638690572</v>
      </c>
      <c r="CF57" s="808">
        <v>3440</v>
      </c>
      <c r="CG57" s="349">
        <f t="shared" si="280"/>
        <v>-0.11817482696744419</v>
      </c>
      <c r="CH57" s="350">
        <f t="shared" si="264"/>
        <v>0.72854548203416991</v>
      </c>
      <c r="CI57" s="808">
        <v>3247.7076149999998</v>
      </c>
      <c r="CJ57" s="349">
        <f t="shared" si="281"/>
        <v>-5.5898949127907049E-2</v>
      </c>
      <c r="CK57" s="350">
        <f t="shared" si="265"/>
        <v>0.69387599884572393</v>
      </c>
      <c r="CL57" s="618"/>
      <c r="CM57" s="349"/>
      <c r="CN57" s="800"/>
    </row>
    <row r="58" spans="1:93" ht="16.2" customHeight="1" x14ac:dyDescent="0.4">
      <c r="C58" s="799" t="s">
        <v>31</v>
      </c>
      <c r="D58" s="798" t="s">
        <v>32</v>
      </c>
      <c r="E58" s="337"/>
      <c r="F58" s="337"/>
      <c r="G58" s="337"/>
      <c r="H58" s="147"/>
      <c r="I58" s="147"/>
      <c r="K58" s="147"/>
      <c r="L58" s="147"/>
      <c r="N58" s="147"/>
      <c r="O58" s="147"/>
      <c r="Q58" s="147"/>
      <c r="R58" s="147"/>
      <c r="T58" s="147"/>
      <c r="U58" s="147"/>
      <c r="W58" s="147"/>
      <c r="X58" s="147"/>
      <c r="Z58" s="147"/>
      <c r="AA58" s="147"/>
      <c r="AC58" s="147"/>
      <c r="AD58" s="337"/>
      <c r="AG58" s="337"/>
      <c r="AJ58" s="337"/>
      <c r="AM58" s="337"/>
      <c r="AP58" s="808">
        <v>10030.572</v>
      </c>
      <c r="AQ58" s="349"/>
      <c r="AR58" s="800"/>
      <c r="AS58" s="808">
        <v>11554.665999999999</v>
      </c>
      <c r="AT58" s="349">
        <f t="shared" si="266"/>
        <v>0.15194487413080715</v>
      </c>
      <c r="AU58" s="350"/>
      <c r="AV58" s="618">
        <v>13819.287678999999</v>
      </c>
      <c r="AW58" s="349">
        <f t="shared" si="267"/>
        <v>0.19599196367943472</v>
      </c>
      <c r="AX58" s="350"/>
      <c r="AY58" s="618">
        <v>15002.321</v>
      </c>
      <c r="AZ58" s="349">
        <f t="shared" si="268"/>
        <v>8.5607402384260123E-2</v>
      </c>
      <c r="BA58" s="350"/>
      <c r="BB58" s="618">
        <v>14612.993802999999</v>
      </c>
      <c r="BC58" s="349">
        <f t="shared" si="269"/>
        <v>-2.5951130961669233E-2</v>
      </c>
      <c r="BD58" s="800"/>
      <c r="BE58" s="808">
        <v>14984.099269999999</v>
      </c>
      <c r="BF58" s="349">
        <f t="shared" si="270"/>
        <v>2.5395580946856455E-2</v>
      </c>
      <c r="BG58" s="350">
        <f t="shared" si="250"/>
        <v>0.29680072708289451</v>
      </c>
      <c r="BH58" s="618">
        <v>13956.642719000001</v>
      </c>
      <c r="BI58" s="349">
        <f t="shared" si="271"/>
        <v>-6.8569790715221068E-2</v>
      </c>
      <c r="BJ58" s="350">
        <f t="shared" si="252"/>
        <v>9.9393719264364577E-3</v>
      </c>
      <c r="BK58" s="618">
        <v>12910.353472999999</v>
      </c>
      <c r="BL58" s="349">
        <f t="shared" si="272"/>
        <v>-7.4967115449306898E-2</v>
      </c>
      <c r="BM58" s="350">
        <f t="shared" si="253"/>
        <v>-0.13944292533135383</v>
      </c>
      <c r="BN58" s="618">
        <v>10867.643</v>
      </c>
      <c r="BO58" s="349">
        <f t="shared" si="273"/>
        <v>-0.15822266038431954</v>
      </c>
      <c r="BP58" s="800">
        <f t="shared" si="254"/>
        <v>-0.25630277091003018</v>
      </c>
      <c r="BQ58" s="808">
        <v>10168.242468</v>
      </c>
      <c r="BR58" s="349">
        <f t="shared" si="274"/>
        <v>-6.4356229957130529E-2</v>
      </c>
      <c r="BS58" s="350">
        <f t="shared" si="256"/>
        <v>-0.32139781746120255</v>
      </c>
      <c r="BT58" s="618">
        <v>9696.0660779999998</v>
      </c>
      <c r="BU58" s="349">
        <f t="shared" si="275"/>
        <v>-4.6436381851235775E-2</v>
      </c>
      <c r="BV58" s="350">
        <f t="shared" si="258"/>
        <v>-0.30527231561210832</v>
      </c>
      <c r="BW58" s="618">
        <v>9230.8198080000002</v>
      </c>
      <c r="BX58" s="349">
        <f t="shared" si="276"/>
        <v>-4.7982992922833478E-2</v>
      </c>
      <c r="BY58" s="350">
        <f t="shared" si="260"/>
        <v>-0.28500642315449942</v>
      </c>
      <c r="BZ58" s="618">
        <v>12932.859044000001</v>
      </c>
      <c r="CA58" s="349">
        <f t="shared" si="277"/>
        <v>0.40105205312225722</v>
      </c>
      <c r="CB58" s="800">
        <f t="shared" si="262"/>
        <v>0.19003348232914918</v>
      </c>
      <c r="CC58" s="808">
        <v>15112</v>
      </c>
      <c r="CD58" s="349">
        <f t="shared" si="278"/>
        <v>0.16849645918092482</v>
      </c>
      <c r="CE58" s="350">
        <f t="shared" si="279"/>
        <v>0.48619587382561602</v>
      </c>
      <c r="CF58" s="808">
        <v>15449</v>
      </c>
      <c r="CG58" s="349">
        <f t="shared" si="280"/>
        <v>2.2300158814187343E-2</v>
      </c>
      <c r="CH58" s="350">
        <f t="shared" si="264"/>
        <v>0.59332660026453254</v>
      </c>
      <c r="CI58" s="808">
        <v>16314.357533</v>
      </c>
      <c r="CJ58" s="349">
        <f t="shared" si="281"/>
        <v>5.6013821800763752E-2</v>
      </c>
      <c r="CK58" s="350">
        <f t="shared" si="265"/>
        <v>0.76737904891838182</v>
      </c>
      <c r="CL58" s="618"/>
      <c r="CM58" s="349"/>
      <c r="CN58" s="800"/>
    </row>
    <row r="59" spans="1:93" ht="16.2" customHeight="1" x14ac:dyDescent="0.4">
      <c r="C59" s="799" t="s">
        <v>33</v>
      </c>
      <c r="D59" s="798" t="s">
        <v>34</v>
      </c>
      <c r="E59" s="337"/>
      <c r="F59" s="337"/>
      <c r="G59" s="337"/>
      <c r="H59" s="147"/>
      <c r="I59" s="147"/>
      <c r="K59" s="147"/>
      <c r="L59" s="147"/>
      <c r="N59" s="147"/>
      <c r="O59" s="147"/>
      <c r="Q59" s="147"/>
      <c r="R59" s="147"/>
      <c r="T59" s="147"/>
      <c r="U59" s="147"/>
      <c r="W59" s="147"/>
      <c r="X59" s="147"/>
      <c r="Z59" s="147"/>
      <c r="AA59" s="147"/>
      <c r="AC59" s="147"/>
      <c r="AD59" s="337"/>
      <c r="AG59" s="337"/>
      <c r="AJ59" s="337"/>
      <c r="AM59" s="337"/>
      <c r="AP59" s="808">
        <v>0</v>
      </c>
      <c r="AQ59" s="349"/>
      <c r="AR59" s="800"/>
      <c r="AS59" s="808">
        <v>0</v>
      </c>
      <c r="AT59" s="349">
        <f t="shared" si="266"/>
        <v>0</v>
      </c>
      <c r="AU59" s="350"/>
      <c r="AV59" s="618">
        <v>0</v>
      </c>
      <c r="AW59" s="349">
        <f t="shared" si="267"/>
        <v>0</v>
      </c>
      <c r="AX59" s="350"/>
      <c r="AY59" s="618" t="s">
        <v>3</v>
      </c>
      <c r="AZ59" s="349">
        <f t="shared" si="268"/>
        <v>0</v>
      </c>
      <c r="BA59" s="350"/>
      <c r="BB59" s="618" t="s">
        <v>3</v>
      </c>
      <c r="BC59" s="349">
        <f t="shared" si="269"/>
        <v>0</v>
      </c>
      <c r="BD59" s="800"/>
      <c r="BE59" s="808">
        <v>0</v>
      </c>
      <c r="BF59" s="349">
        <f t="shared" si="270"/>
        <v>0</v>
      </c>
      <c r="BG59" s="350">
        <f t="shared" si="250"/>
        <v>0</v>
      </c>
      <c r="BH59" s="618">
        <v>0</v>
      </c>
      <c r="BI59" s="349">
        <f t="shared" si="271"/>
        <v>0</v>
      </c>
      <c r="BJ59" s="350">
        <f t="shared" si="252"/>
        <v>0</v>
      </c>
      <c r="BK59" s="618"/>
      <c r="BL59" s="349">
        <f t="shared" si="272"/>
        <v>0</v>
      </c>
      <c r="BM59" s="350">
        <f t="shared" si="253"/>
        <v>0</v>
      </c>
      <c r="BN59" s="618" t="s">
        <v>3</v>
      </c>
      <c r="BO59" s="349">
        <f t="shared" si="273"/>
        <v>0</v>
      </c>
      <c r="BP59" s="800">
        <f t="shared" si="254"/>
        <v>0</v>
      </c>
      <c r="BQ59" s="808">
        <v>1539.163382</v>
      </c>
      <c r="BR59" s="349">
        <f t="shared" si="274"/>
        <v>0</v>
      </c>
      <c r="BS59" s="350">
        <f t="shared" si="256"/>
        <v>0</v>
      </c>
      <c r="BT59" s="618">
        <v>1433.09691</v>
      </c>
      <c r="BU59" s="349">
        <f t="shared" si="275"/>
        <v>-6.8911769367964282E-2</v>
      </c>
      <c r="BV59" s="350">
        <f t="shared" si="258"/>
        <v>0</v>
      </c>
      <c r="BW59" s="618">
        <v>1415.340371</v>
      </c>
      <c r="BX59" s="349">
        <f t="shared" si="276"/>
        <v>-1.2390326764433524E-2</v>
      </c>
      <c r="BY59" s="350">
        <f t="shared" si="260"/>
        <v>0</v>
      </c>
      <c r="BZ59" s="618">
        <v>1344.6260520000001</v>
      </c>
      <c r="CA59" s="349">
        <f t="shared" si="277"/>
        <v>-4.9962765458344993E-2</v>
      </c>
      <c r="CB59" s="800">
        <f t="shared" si="262"/>
        <v>0</v>
      </c>
      <c r="CC59" s="808">
        <v>1858</v>
      </c>
      <c r="CD59" s="349">
        <f t="shared" si="278"/>
        <v>0.38179681796021003</v>
      </c>
      <c r="CE59" s="350">
        <f t="shared" si="279"/>
        <v>0.20714930054124703</v>
      </c>
      <c r="CF59" s="808">
        <v>1708</v>
      </c>
      <c r="CG59" s="349">
        <f t="shared" si="280"/>
        <v>-8.073196986006459E-2</v>
      </c>
      <c r="CH59" s="350">
        <f t="shared" si="264"/>
        <v>0.19182449426954662</v>
      </c>
      <c r="CI59" s="808">
        <v>1745.0549579999999</v>
      </c>
      <c r="CJ59" s="349">
        <f t="shared" si="281"/>
        <v>2.1694940281030473E-2</v>
      </c>
      <c r="CK59" s="350">
        <f t="shared" si="265"/>
        <v>0.23295780559629065</v>
      </c>
      <c r="CL59" s="618"/>
      <c r="CM59" s="349"/>
      <c r="CN59" s="800"/>
    </row>
    <row r="60" spans="1:93" s="38" customFormat="1" ht="16.2" customHeight="1" x14ac:dyDescent="0.4">
      <c r="A60" s="162"/>
      <c r="B60" s="39"/>
      <c r="C60" s="799" t="s">
        <v>186</v>
      </c>
      <c r="D60" s="798" t="s">
        <v>69</v>
      </c>
      <c r="E60" s="337"/>
      <c r="F60" s="337"/>
      <c r="G60" s="337"/>
      <c r="H60" s="147"/>
      <c r="I60" s="147"/>
      <c r="J60" s="337"/>
      <c r="K60" s="147"/>
      <c r="L60" s="147"/>
      <c r="M60" s="337"/>
      <c r="N60" s="147"/>
      <c r="O60" s="147"/>
      <c r="P60" s="337"/>
      <c r="Q60" s="147"/>
      <c r="R60" s="147"/>
      <c r="S60" s="337"/>
      <c r="T60" s="147"/>
      <c r="U60" s="147"/>
      <c r="V60" s="337"/>
      <c r="W60" s="147"/>
      <c r="X60" s="147"/>
      <c r="Y60" s="337"/>
      <c r="Z60" s="147"/>
      <c r="AA60" s="147"/>
      <c r="AB60" s="337"/>
      <c r="AC60" s="147"/>
      <c r="AD60" s="337"/>
      <c r="AE60" s="337"/>
      <c r="AF60" s="337"/>
      <c r="AG60" s="337"/>
      <c r="AH60" s="337"/>
      <c r="AI60" s="337"/>
      <c r="AJ60" s="337"/>
      <c r="AK60" s="337"/>
      <c r="AL60" s="337"/>
      <c r="AM60" s="337"/>
      <c r="AN60" s="337"/>
      <c r="AO60" s="337"/>
      <c r="AP60" s="808"/>
      <c r="AQ60" s="349"/>
      <c r="AR60" s="800"/>
      <c r="AS60" s="808"/>
      <c r="AT60" s="349">
        <f t="shared" si="266"/>
        <v>0</v>
      </c>
      <c r="AU60" s="350"/>
      <c r="AV60" s="618"/>
      <c r="AW60" s="349">
        <f t="shared" si="267"/>
        <v>0</v>
      </c>
      <c r="AX60" s="350"/>
      <c r="AY60" s="618"/>
      <c r="AZ60" s="349">
        <f t="shared" si="268"/>
        <v>0</v>
      </c>
      <c r="BA60" s="350"/>
      <c r="BB60" s="618"/>
      <c r="BC60" s="349">
        <f t="shared" si="269"/>
        <v>0</v>
      </c>
      <c r="BD60" s="800"/>
      <c r="BE60" s="808"/>
      <c r="BF60" s="349">
        <f t="shared" si="270"/>
        <v>0</v>
      </c>
      <c r="BG60" s="350">
        <f t="shared" si="250"/>
        <v>0</v>
      </c>
      <c r="BH60" s="618"/>
      <c r="BI60" s="349">
        <f t="shared" si="271"/>
        <v>0</v>
      </c>
      <c r="BJ60" s="350">
        <f t="shared" si="252"/>
        <v>0</v>
      </c>
      <c r="BK60" s="618"/>
      <c r="BL60" s="349">
        <f t="shared" si="272"/>
        <v>0</v>
      </c>
      <c r="BM60" s="350">
        <f t="shared" si="253"/>
        <v>0</v>
      </c>
      <c r="BN60" s="618"/>
      <c r="BO60" s="349">
        <f t="shared" si="273"/>
        <v>0</v>
      </c>
      <c r="BP60" s="800">
        <f t="shared" si="254"/>
        <v>0</v>
      </c>
      <c r="BQ60" s="808"/>
      <c r="BR60" s="349">
        <f t="shared" si="274"/>
        <v>0</v>
      </c>
      <c r="BS60" s="350">
        <f t="shared" si="256"/>
        <v>0</v>
      </c>
      <c r="BT60" s="618"/>
      <c r="BU60" s="349">
        <f t="shared" si="275"/>
        <v>0</v>
      </c>
      <c r="BV60" s="350">
        <f t="shared" si="258"/>
        <v>0</v>
      </c>
      <c r="BW60" s="618"/>
      <c r="BX60" s="349">
        <f t="shared" si="276"/>
        <v>0</v>
      </c>
      <c r="BY60" s="350">
        <f t="shared" si="260"/>
        <v>0</v>
      </c>
      <c r="BZ60" s="618">
        <v>165.82505</v>
      </c>
      <c r="CA60" s="349">
        <f t="shared" si="277"/>
        <v>0</v>
      </c>
      <c r="CB60" s="800">
        <f t="shared" si="262"/>
        <v>0</v>
      </c>
      <c r="CC60" s="808">
        <v>36</v>
      </c>
      <c r="CD60" s="349">
        <f t="shared" si="278"/>
        <v>-0.78290372896012994</v>
      </c>
      <c r="CE60" s="350">
        <f t="shared" si="279"/>
        <v>0</v>
      </c>
      <c r="CF60" s="808">
        <v>1</v>
      </c>
      <c r="CG60" s="349">
        <f t="shared" si="280"/>
        <v>-0.97222222222222221</v>
      </c>
      <c r="CH60" s="350">
        <f t="shared" si="264"/>
        <v>0</v>
      </c>
      <c r="CI60" s="808">
        <v>0</v>
      </c>
      <c r="CJ60" s="349">
        <f t="shared" si="281"/>
        <v>-1</v>
      </c>
      <c r="CK60" s="350">
        <f t="shared" si="265"/>
        <v>0</v>
      </c>
      <c r="CL60" s="618"/>
      <c r="CM60" s="349"/>
      <c r="CN60" s="800"/>
    </row>
    <row r="61" spans="1:93" s="38" customFormat="1" ht="16.2" customHeight="1" x14ac:dyDescent="0.4">
      <c r="A61" s="156"/>
      <c r="B61" s="39"/>
      <c r="C61" s="803"/>
      <c r="D61" s="804"/>
      <c r="E61" s="337"/>
      <c r="F61" s="337"/>
      <c r="G61" s="337"/>
      <c r="H61" s="147"/>
      <c r="I61" s="147"/>
      <c r="J61" s="337"/>
      <c r="K61" s="147"/>
      <c r="L61" s="147"/>
      <c r="M61" s="337"/>
      <c r="N61" s="147"/>
      <c r="O61" s="147"/>
      <c r="P61" s="337"/>
      <c r="Q61" s="147"/>
      <c r="R61" s="147"/>
      <c r="S61" s="337"/>
      <c r="T61" s="147"/>
      <c r="U61" s="147"/>
      <c r="V61" s="337"/>
      <c r="W61" s="147"/>
      <c r="X61" s="147"/>
      <c r="Y61" s="337"/>
      <c r="Z61" s="147"/>
      <c r="AA61" s="147"/>
      <c r="AB61" s="337"/>
      <c r="AC61" s="147"/>
      <c r="AD61" s="337"/>
      <c r="AE61" s="337"/>
      <c r="AF61" s="337"/>
      <c r="AG61" s="337"/>
      <c r="AH61" s="337"/>
      <c r="AI61" s="337"/>
      <c r="AJ61" s="337"/>
      <c r="AK61" s="337"/>
      <c r="AL61" s="337"/>
      <c r="AM61" s="337"/>
      <c r="AN61" s="337"/>
      <c r="AO61" s="337"/>
      <c r="AP61" s="809">
        <f>ROUND(SUM(AP56:AP58),0)</f>
        <v>16465</v>
      </c>
      <c r="AQ61" s="810"/>
      <c r="AR61" s="811"/>
      <c r="AS61" s="809">
        <f>ROUND(SUM(AS56:AS58),0)</f>
        <v>18897</v>
      </c>
      <c r="AT61" s="810">
        <f t="shared" si="266"/>
        <v>0.14770725781961747</v>
      </c>
      <c r="AU61" s="814"/>
      <c r="AV61" s="815">
        <f>ROUND(SUM(AV56:AV58),0)</f>
        <v>22426</v>
      </c>
      <c r="AW61" s="810">
        <f t="shared" si="267"/>
        <v>0.1867492194528233</v>
      </c>
      <c r="AX61" s="814"/>
      <c r="AY61" s="815">
        <f>ROUND(SUM(AY56:AY58),0)</f>
        <v>25110</v>
      </c>
      <c r="AZ61" s="810">
        <f t="shared" si="268"/>
        <v>0.11968251137073049</v>
      </c>
      <c r="BA61" s="814"/>
      <c r="BB61" s="815">
        <f>ROUND(SUM(BB56:BB58),0)</f>
        <v>23398</v>
      </c>
      <c r="BC61" s="810">
        <f t="shared" si="269"/>
        <v>-6.8180007964954159E-2</v>
      </c>
      <c r="BD61" s="811"/>
      <c r="BE61" s="809">
        <f>ROUND(SUM(BE56:BE58),0)</f>
        <v>22445</v>
      </c>
      <c r="BF61" s="810">
        <f t="shared" si="270"/>
        <v>-4.0729976921104361E-2</v>
      </c>
      <c r="BG61" s="814">
        <f t="shared" si="250"/>
        <v>0.18775467005344759</v>
      </c>
      <c r="BH61" s="815">
        <f>ROUND(SUM(BH56:BH58),0)</f>
        <v>22394</v>
      </c>
      <c r="BI61" s="810">
        <f t="shared" si="271"/>
        <v>-2.2722209846290919E-3</v>
      </c>
      <c r="BJ61" s="814">
        <f t="shared" si="252"/>
        <v>-1.426915187728528E-3</v>
      </c>
      <c r="BK61" s="815">
        <f>ROUND(SUM(BK56:BK58),0)</f>
        <v>21607</v>
      </c>
      <c r="BL61" s="810">
        <f t="shared" si="272"/>
        <v>-3.5143341966598185E-2</v>
      </c>
      <c r="BM61" s="814">
        <f t="shared" si="253"/>
        <v>-0.13950617283950617</v>
      </c>
      <c r="BN61" s="815">
        <f>ROUND(SUM(BN56:BN58),0)</f>
        <v>19434</v>
      </c>
      <c r="BO61" s="810">
        <f t="shared" si="273"/>
        <v>-0.10056925996204935</v>
      </c>
      <c r="BP61" s="811">
        <f t="shared" si="254"/>
        <v>-0.16941618941789893</v>
      </c>
      <c r="BQ61" s="809">
        <f>ROUND(SUM(BQ56:BQ60),0)</f>
        <v>19356</v>
      </c>
      <c r="BR61" s="810">
        <f t="shared" si="274"/>
        <v>-4.0135844396418374E-3</v>
      </c>
      <c r="BS61" s="814">
        <f t="shared" si="256"/>
        <v>-0.13762530630429937</v>
      </c>
      <c r="BT61" s="815">
        <f>ROUND(SUM(BT56:BT60),0)</f>
        <v>17860</v>
      </c>
      <c r="BU61" s="810">
        <f t="shared" si="275"/>
        <v>-7.7288696011572622E-2</v>
      </c>
      <c r="BV61" s="814">
        <f t="shared" si="258"/>
        <v>-0.20246494596766995</v>
      </c>
      <c r="BW61" s="815">
        <f>ROUND(SUM(BW56:BW60),0)</f>
        <v>16737</v>
      </c>
      <c r="BX61" s="810">
        <f t="shared" si="276"/>
        <v>-6.2877939529675242E-2</v>
      </c>
      <c r="BY61" s="814">
        <f t="shared" si="260"/>
        <v>-0.22538991993335489</v>
      </c>
      <c r="BZ61" s="815">
        <f>ROUND(SUM(BZ56:BZ60),0)</f>
        <v>30000</v>
      </c>
      <c r="CA61" s="810">
        <f t="shared" si="277"/>
        <v>0.7924359204158451</v>
      </c>
      <c r="CB61" s="811">
        <f t="shared" si="262"/>
        <v>0.54368632293917885</v>
      </c>
      <c r="CC61" s="809">
        <f>ROUND(SUM(CC56:CC60),0)</f>
        <v>30415</v>
      </c>
      <c r="CD61" s="810">
        <f t="shared" si="278"/>
        <v>1.3833333333333364E-2</v>
      </c>
      <c r="CE61" s="814">
        <f t="shared" si="279"/>
        <v>0.57134738582351718</v>
      </c>
      <c r="CF61" s="809">
        <f>ROUND(SUM(CF56:CF60),0)</f>
        <v>30085</v>
      </c>
      <c r="CG61" s="810">
        <f t="shared" si="280"/>
        <v>-1.0849909584086825E-2</v>
      </c>
      <c r="CH61" s="814">
        <f t="shared" si="264"/>
        <v>0.68449048152295622</v>
      </c>
      <c r="CI61" s="809">
        <f>ROUND(SUM(CI56:CI60),0)</f>
        <v>31261</v>
      </c>
      <c r="CJ61" s="810">
        <f t="shared" si="281"/>
        <v>3.9089247133122784E-2</v>
      </c>
      <c r="CK61" s="814">
        <f t="shared" si="265"/>
        <v>0.86777797693732439</v>
      </c>
      <c r="CL61" s="815"/>
      <c r="CM61" s="810"/>
      <c r="CN61" s="811"/>
    </row>
    <row r="62" spans="1:93" ht="16.2" customHeight="1" x14ac:dyDescent="0.4">
      <c r="C62" s="552"/>
      <c r="D62" s="552"/>
      <c r="E62" s="337"/>
      <c r="F62" s="337"/>
      <c r="G62" s="337"/>
      <c r="H62" s="147"/>
      <c r="I62" s="147"/>
      <c r="K62" s="147"/>
      <c r="L62" s="147"/>
      <c r="N62" s="147"/>
      <c r="O62" s="147"/>
      <c r="Q62" s="147"/>
      <c r="R62" s="147"/>
      <c r="T62" s="147"/>
      <c r="U62" s="147"/>
      <c r="W62" s="147"/>
      <c r="X62" s="147"/>
      <c r="Z62" s="147"/>
      <c r="AA62" s="147"/>
      <c r="AC62" s="147"/>
      <c r="AD62" s="337"/>
      <c r="AG62" s="337"/>
      <c r="AJ62" s="337"/>
      <c r="AM62" s="337"/>
      <c r="AP62" s="552" t="b">
        <f>AP55=AP61</f>
        <v>1</v>
      </c>
      <c r="AR62" s="147"/>
      <c r="AS62" s="552" t="b">
        <f>AS55=AS61</f>
        <v>1</v>
      </c>
      <c r="AU62" s="147"/>
      <c r="AV62" s="552" t="b">
        <f>AV55=AV61</f>
        <v>1</v>
      </c>
      <c r="AX62" s="147"/>
      <c r="AY62" s="552" t="b">
        <f>AY55=AY61</f>
        <v>1</v>
      </c>
      <c r="BA62" s="147"/>
      <c r="BB62" s="552" t="b">
        <f>BB55=BB61</f>
        <v>1</v>
      </c>
      <c r="BD62" s="147"/>
      <c r="BE62" s="552" t="b">
        <f>BE55=BE61</f>
        <v>1</v>
      </c>
      <c r="BG62" s="147"/>
      <c r="BH62" s="552" t="b">
        <f>BH55=BH61</f>
        <v>1</v>
      </c>
      <c r="BJ62" s="147"/>
      <c r="BK62" s="552" t="b">
        <f>BK55=BK61</f>
        <v>1</v>
      </c>
      <c r="BM62" s="147"/>
      <c r="BN62" s="552" t="b">
        <f>BN55=BN61</f>
        <v>1</v>
      </c>
      <c r="BP62" s="147"/>
      <c r="BQ62" s="552" t="b">
        <f>BQ55=BQ61</f>
        <v>1</v>
      </c>
      <c r="BS62" s="147"/>
      <c r="BT62" s="552" t="b">
        <f>BT55=BT61</f>
        <v>1</v>
      </c>
      <c r="BV62" s="147"/>
      <c r="BW62" s="552" t="b">
        <f>BW55=BW61</f>
        <v>1</v>
      </c>
      <c r="BY62" s="147"/>
      <c r="BZ62" s="552" t="b">
        <f>BZ55=BZ61</f>
        <v>1</v>
      </c>
      <c r="CB62" s="147"/>
      <c r="CC62" s="552" t="b">
        <f>CC55=CC61</f>
        <v>1</v>
      </c>
      <c r="CE62" s="147"/>
      <c r="CF62" s="552" t="b">
        <f>CF55=CF61</f>
        <v>1</v>
      </c>
      <c r="CH62" s="147"/>
      <c r="CI62" s="552" t="b">
        <f>CI55=CI61</f>
        <v>1</v>
      </c>
      <c r="CK62" s="147"/>
      <c r="CL62" s="552"/>
      <c r="CN62" s="147"/>
    </row>
    <row r="63" spans="1:93" ht="16.2" customHeight="1" x14ac:dyDescent="0.4">
      <c r="C63" s="552"/>
      <c r="D63" s="552"/>
      <c r="E63" s="337"/>
      <c r="F63" s="337"/>
      <c r="G63" s="337"/>
      <c r="H63" s="147"/>
      <c r="I63" s="147"/>
      <c r="K63" s="147"/>
      <c r="L63" s="147"/>
      <c r="N63" s="147"/>
      <c r="O63" s="147"/>
      <c r="Q63" s="147"/>
      <c r="R63" s="147"/>
      <c r="T63" s="147"/>
      <c r="U63" s="147"/>
      <c r="W63" s="147"/>
      <c r="X63" s="147"/>
      <c r="Z63" s="147"/>
      <c r="AA63" s="147"/>
      <c r="AC63" s="147"/>
      <c r="AD63" s="337"/>
      <c r="AG63" s="337"/>
      <c r="AJ63" s="337"/>
      <c r="AM63" s="337"/>
      <c r="AP63" s="552"/>
      <c r="AR63" s="147"/>
      <c r="AS63" s="552"/>
      <c r="AU63" s="147"/>
      <c r="AV63" s="552"/>
      <c r="AX63" s="147"/>
      <c r="AY63" s="552"/>
      <c r="BA63" s="147"/>
      <c r="BB63" s="552"/>
      <c r="BD63" s="147"/>
      <c r="BE63" s="552"/>
      <c r="BG63" s="147"/>
      <c r="BH63" s="552"/>
      <c r="BJ63" s="147"/>
      <c r="BK63" s="552"/>
      <c r="BM63" s="147"/>
      <c r="BN63" s="552"/>
      <c r="BP63" s="147"/>
      <c r="BQ63" s="552"/>
      <c r="BS63" s="147"/>
      <c r="BT63" s="552"/>
      <c r="BV63" s="147"/>
      <c r="BW63" s="552"/>
      <c r="BY63" s="147"/>
      <c r="BZ63" s="552"/>
      <c r="CB63" s="147"/>
      <c r="CC63" s="552"/>
      <c r="CE63" s="147"/>
      <c r="CF63" s="552"/>
      <c r="CH63" s="147"/>
      <c r="CI63" s="552"/>
      <c r="CK63" s="147"/>
      <c r="CL63" s="552"/>
      <c r="CN63" s="147"/>
    </row>
    <row r="64" spans="1:93" ht="16.2" customHeight="1" x14ac:dyDescent="0.4">
      <c r="C64" s="801" t="s">
        <v>16</v>
      </c>
      <c r="D64" s="802" t="s">
        <v>17</v>
      </c>
      <c r="E64" s="337"/>
      <c r="F64" s="337"/>
      <c r="G64" s="337"/>
      <c r="H64" s="147"/>
      <c r="I64" s="147"/>
      <c r="K64" s="147"/>
      <c r="L64" s="147"/>
      <c r="N64" s="147"/>
      <c r="O64" s="147"/>
      <c r="Q64" s="147"/>
      <c r="R64" s="147"/>
      <c r="T64" s="147"/>
      <c r="U64" s="147"/>
      <c r="W64" s="147"/>
      <c r="X64" s="147"/>
      <c r="Z64" s="147"/>
      <c r="AA64" s="147"/>
      <c r="AC64" s="147"/>
      <c r="AD64" s="337"/>
      <c r="AG64" s="337"/>
      <c r="AJ64" s="337"/>
      <c r="AM64" s="337"/>
      <c r="AP64" s="805">
        <f>ROUND(AP12,0)</f>
        <v>5715</v>
      </c>
      <c r="AQ64" s="806"/>
      <c r="AR64" s="807"/>
      <c r="AS64" s="805">
        <f>ROUND(AS12,0)</f>
        <v>8541</v>
      </c>
      <c r="AT64" s="806">
        <f t="shared" ref="AT64:AT68" si="282">IFERROR(AS64/AP64-1,0)</f>
        <v>0.49448818897637792</v>
      </c>
      <c r="AU64" s="812"/>
      <c r="AV64" s="813">
        <f>ROUND(AV12,0)</f>
        <v>3565</v>
      </c>
      <c r="AW64" s="806">
        <f t="shared" ref="AW64:AW68" si="283">IFERROR(AV64/AS64-1,0)</f>
        <v>-0.58260156890293879</v>
      </c>
      <c r="AX64" s="812"/>
      <c r="AY64" s="813">
        <f>ROUND(AY12,0)</f>
        <v>3332</v>
      </c>
      <c r="AZ64" s="806">
        <f t="shared" ref="AZ64:AZ68" si="284">IFERROR(AY64/AV64-1,0)</f>
        <v>-6.5357643758765738E-2</v>
      </c>
      <c r="BA64" s="812"/>
      <c r="BB64" s="813">
        <f>ROUND(BB12,0)</f>
        <v>2705</v>
      </c>
      <c r="BC64" s="806">
        <f t="shared" ref="BC64:BC68" si="285">IFERROR(BB64/AY64-1,0)</f>
        <v>-0.18817527010804325</v>
      </c>
      <c r="BD64" s="807"/>
      <c r="BE64" s="805">
        <f>ROUND(BE12,0)</f>
        <v>3831</v>
      </c>
      <c r="BF64" s="806">
        <f t="shared" ref="BF64:BF68" si="286">IFERROR(BE64/BB64-1,0)</f>
        <v>0.41626617375231056</v>
      </c>
      <c r="BG64" s="812">
        <f t="shared" ref="BG64:BG68" si="287">IFERROR(BE64/AS64-1,)</f>
        <v>-0.5514576747453459</v>
      </c>
      <c r="BH64" s="813">
        <f>ROUND(BH12,0)</f>
        <v>3223</v>
      </c>
      <c r="BI64" s="806">
        <f t="shared" ref="BI64:BI68" si="288">IFERROR(BH64/BE64-1,0)</f>
        <v>-0.15870529887757767</v>
      </c>
      <c r="BJ64" s="812">
        <f t="shared" ref="BJ64:BJ68" si="289">IFERROR(BH64/AV64-1,)</f>
        <v>-9.5932678821879391E-2</v>
      </c>
      <c r="BK64" s="813">
        <f>ROUND(BK12,0)</f>
        <v>10766</v>
      </c>
      <c r="BL64" s="806">
        <f t="shared" ref="BL64:BL68" si="290">IFERROR(BK64/BH64-1,0)</f>
        <v>2.3403661185231153</v>
      </c>
      <c r="BM64" s="812">
        <f t="shared" ref="BM64:BM68" si="291">IFERROR(BK64/AY64-1,)</f>
        <v>2.23109243697479</v>
      </c>
      <c r="BN64" s="813">
        <f>ROUND(BN12,0)</f>
        <v>10277</v>
      </c>
      <c r="BO64" s="806">
        <f t="shared" ref="BO64:BO68" si="292">IFERROR(BN64/BK64-1,0)</f>
        <v>-4.5420769087869184E-2</v>
      </c>
      <c r="BP64" s="807">
        <f t="shared" ref="BP64:BP68" si="293">IFERROR(BN64/BB64-1,)</f>
        <v>2.7992606284658041</v>
      </c>
      <c r="BQ64" s="805">
        <f>ROUND(BQ12,0)</f>
        <v>9880</v>
      </c>
      <c r="BR64" s="806">
        <f t="shared" ref="BR64:BR68" si="294">IFERROR(BQ64/BN64-1,0)</f>
        <v>-3.8629950374622912E-2</v>
      </c>
      <c r="BS64" s="812">
        <f t="shared" ref="BS64:BS68" si="295">IFERROR(BQ64/BE64-1,)</f>
        <v>1.5789611067606368</v>
      </c>
      <c r="BT64" s="813">
        <f>ROUND(BT12,0)</f>
        <v>1697</v>
      </c>
      <c r="BU64" s="806">
        <f t="shared" ref="BU64:BU68" si="296">IFERROR(BT64/BQ64-1,0)</f>
        <v>-0.82823886639676114</v>
      </c>
      <c r="BV64" s="812">
        <f t="shared" ref="BV64:BV68" si="297">IFERROR(BT64/BH64-1,)</f>
        <v>-0.47347192057089671</v>
      </c>
      <c r="BW64" s="813">
        <f>ROUND(BW12,0)</f>
        <v>3526</v>
      </c>
      <c r="BX64" s="806">
        <f t="shared" ref="BX64:BX68" si="298">IFERROR(BW64/BT64-1,0)</f>
        <v>1.0777843252799055</v>
      </c>
      <c r="BY64" s="812">
        <f t="shared" ref="BY64:BY68" si="299">IFERROR(BW64/BK64-1,)</f>
        <v>-0.67248746052387143</v>
      </c>
      <c r="BZ64" s="813">
        <f>ROUND(BZ12,0)</f>
        <v>5609</v>
      </c>
      <c r="CA64" s="806">
        <f t="shared" ref="CA64:CA68" si="300">IFERROR(BZ64/BW64-1,0)</f>
        <v>0.59075439591605217</v>
      </c>
      <c r="CB64" s="807">
        <f t="shared" ref="CB64:CB68" si="301">IFERROR(BZ64/BN64-1,)</f>
        <v>-0.45421815704972268</v>
      </c>
      <c r="CC64" s="805">
        <f>ROUND(CC12,0)</f>
        <v>5181</v>
      </c>
      <c r="CD64" s="806">
        <f t="shared" ref="CD64:CD68" si="302">IFERROR(CC64/BZ64-1,0)</f>
        <v>-7.6305936887145709E-2</v>
      </c>
      <c r="CE64" s="812">
        <f t="shared" ref="CE64:CE68" si="303">IFERROR(CC64/BQ64-1,)</f>
        <v>-0.47560728744939273</v>
      </c>
      <c r="CF64" s="805">
        <f>ROUND(CF12,0)</f>
        <v>6759</v>
      </c>
      <c r="CG64" s="806">
        <f t="shared" ref="CG64:CG68" si="304">IFERROR(CF64/CC64-1,0)</f>
        <v>0.30457440648523448</v>
      </c>
      <c r="CH64" s="812">
        <f t="shared" ref="CH64:CH68" si="305">IFERROR(CF64/BT64-1,)</f>
        <v>2.9829110194460813</v>
      </c>
      <c r="CI64" s="805">
        <f>ROUND(CI12,0)</f>
        <v>7384</v>
      </c>
      <c r="CJ64" s="806">
        <f t="shared" ref="CJ64:CJ68" si="306">IFERROR(CI64/CF64-1,0)</f>
        <v>9.2469300192336235E-2</v>
      </c>
      <c r="CK64" s="812">
        <f t="shared" ref="CK64:CK68" si="307">IFERROR(CI64/BW64-1,)</f>
        <v>1.0941576857629043</v>
      </c>
      <c r="CL64" s="813"/>
      <c r="CM64" s="806"/>
      <c r="CN64" s="807"/>
    </row>
    <row r="65" spans="1:93" ht="16.2" customHeight="1" x14ac:dyDescent="0.4">
      <c r="C65" s="799" t="s">
        <v>35</v>
      </c>
      <c r="D65" s="798" t="s">
        <v>76</v>
      </c>
      <c r="E65" s="337"/>
      <c r="F65" s="337"/>
      <c r="G65" s="337"/>
      <c r="H65" s="147"/>
      <c r="I65" s="147"/>
      <c r="K65" s="147"/>
      <c r="L65" s="147"/>
      <c r="N65" s="147"/>
      <c r="O65" s="147"/>
      <c r="Q65" s="147"/>
      <c r="R65" s="147"/>
      <c r="T65" s="147"/>
      <c r="U65" s="147"/>
      <c r="W65" s="147"/>
      <c r="X65" s="147"/>
      <c r="Z65" s="147"/>
      <c r="AA65" s="147"/>
      <c r="AC65" s="147"/>
      <c r="AD65" s="337"/>
      <c r="AG65" s="337"/>
      <c r="AJ65" s="337"/>
      <c r="AM65" s="337"/>
      <c r="AP65" s="808">
        <v>3238.7060000000001</v>
      </c>
      <c r="AQ65" s="349"/>
      <c r="AR65" s="800"/>
      <c r="AS65" s="808">
        <v>4927.4920000000002</v>
      </c>
      <c r="AT65" s="349">
        <f t="shared" si="282"/>
        <v>0.52143850043813789</v>
      </c>
      <c r="AU65" s="350"/>
      <c r="AV65" s="618">
        <v>2778.4458119999999</v>
      </c>
      <c r="AW65" s="349">
        <f t="shared" si="283"/>
        <v>-0.43613387662526903</v>
      </c>
      <c r="AX65" s="350"/>
      <c r="AY65" s="618">
        <v>3147.6545970000002</v>
      </c>
      <c r="AZ65" s="349">
        <f t="shared" si="284"/>
        <v>0.13288320520969021</v>
      </c>
      <c r="BA65" s="350"/>
      <c r="BB65" s="618">
        <v>2442.1568629999997</v>
      </c>
      <c r="BC65" s="349">
        <f t="shared" si="285"/>
        <v>-0.2241344189011093</v>
      </c>
      <c r="BD65" s="800"/>
      <c r="BE65" s="808">
        <v>1800.3121640000002</v>
      </c>
      <c r="BF65" s="349">
        <f t="shared" si="286"/>
        <v>-0.26281878478991039</v>
      </c>
      <c r="BG65" s="350">
        <f t="shared" si="287"/>
        <v>-0.63463925177351888</v>
      </c>
      <c r="BH65" s="618">
        <v>1469.2983240000001</v>
      </c>
      <c r="BI65" s="349">
        <f t="shared" si="288"/>
        <v>-0.1838646911458629</v>
      </c>
      <c r="BJ65" s="350">
        <f t="shared" si="289"/>
        <v>-0.47117978056143561</v>
      </c>
      <c r="BK65" s="618">
        <v>9665.0350920000001</v>
      </c>
      <c r="BL65" s="349">
        <f t="shared" si="290"/>
        <v>5.5779936818331244</v>
      </c>
      <c r="BM65" s="350">
        <f t="shared" si="291"/>
        <v>2.0705513563056295</v>
      </c>
      <c r="BN65" s="618">
        <v>9682.9439999999995</v>
      </c>
      <c r="BO65" s="349">
        <f t="shared" si="292"/>
        <v>1.8529584041369063E-3</v>
      </c>
      <c r="BP65" s="800">
        <f t="shared" si="293"/>
        <v>2.9649148450297562</v>
      </c>
      <c r="BQ65" s="808">
        <v>9432.0598339999997</v>
      </c>
      <c r="BR65" s="349">
        <f t="shared" si="294"/>
        <v>-2.5909905706363645E-2</v>
      </c>
      <c r="BS65" s="350">
        <f t="shared" si="295"/>
        <v>4.2391246488295122</v>
      </c>
      <c r="BT65" s="618">
        <v>1201.1719640000001</v>
      </c>
      <c r="BU65" s="349">
        <f t="shared" si="296"/>
        <v>-0.87265009073944766</v>
      </c>
      <c r="BV65" s="350">
        <f t="shared" si="297"/>
        <v>-0.18248599050331449</v>
      </c>
      <c r="BW65" s="618">
        <v>1309.7844679999998</v>
      </c>
      <c r="BX65" s="349">
        <f t="shared" si="298"/>
        <v>9.042211045145554E-2</v>
      </c>
      <c r="BY65" s="350">
        <f t="shared" si="299"/>
        <v>-0.86448218185114067</v>
      </c>
      <c r="BZ65" s="618">
        <v>3995.643</v>
      </c>
      <c r="CA65" s="349">
        <f t="shared" si="300"/>
        <v>2.0506110719889836</v>
      </c>
      <c r="CB65" s="800">
        <f t="shared" si="301"/>
        <v>-0.58735246222636417</v>
      </c>
      <c r="CC65" s="808">
        <v>3777.31</v>
      </c>
      <c r="CD65" s="349">
        <f t="shared" si="302"/>
        <v>-5.4642769636826904E-2</v>
      </c>
      <c r="CE65" s="350">
        <f t="shared" si="303"/>
        <v>-0.59952438104942574</v>
      </c>
      <c r="CF65" s="808">
        <v>4689</v>
      </c>
      <c r="CG65" s="349">
        <f t="shared" si="304"/>
        <v>0.24135959187887668</v>
      </c>
      <c r="CH65" s="350">
        <f t="shared" si="305"/>
        <v>2.9036875156370194</v>
      </c>
      <c r="CI65" s="808">
        <v>4812.1109999999999</v>
      </c>
      <c r="CJ65" s="349">
        <f t="shared" si="306"/>
        <v>2.6255278310940433E-2</v>
      </c>
      <c r="CK65" s="350">
        <f t="shared" si="307"/>
        <v>2.6739716476772273</v>
      </c>
      <c r="CL65" s="618"/>
      <c r="CM65" s="349"/>
      <c r="CN65" s="800"/>
    </row>
    <row r="66" spans="1:93" ht="16.2" customHeight="1" x14ac:dyDescent="0.4">
      <c r="C66" s="799" t="s">
        <v>36</v>
      </c>
      <c r="D66" s="798" t="s">
        <v>77</v>
      </c>
      <c r="E66" s="337"/>
      <c r="F66" s="337"/>
      <c r="G66" s="337"/>
      <c r="H66" s="147"/>
      <c r="I66" s="147"/>
      <c r="K66" s="147"/>
      <c r="L66" s="147"/>
      <c r="N66" s="147"/>
      <c r="O66" s="147"/>
      <c r="Q66" s="147"/>
      <c r="R66" s="147"/>
      <c r="T66" s="147"/>
      <c r="U66" s="147"/>
      <c r="W66" s="147"/>
      <c r="X66" s="147"/>
      <c r="Z66" s="147"/>
      <c r="AA66" s="147"/>
      <c r="AC66" s="147"/>
      <c r="AD66" s="337"/>
      <c r="AG66" s="337"/>
      <c r="AJ66" s="337"/>
      <c r="AM66" s="337"/>
      <c r="AP66" s="808">
        <v>1110.9680000000001</v>
      </c>
      <c r="AQ66" s="349"/>
      <c r="AR66" s="800"/>
      <c r="AS66" s="808">
        <v>1090.143</v>
      </c>
      <c r="AT66" s="349">
        <f t="shared" si="282"/>
        <v>-1.8744914344967722E-2</v>
      </c>
      <c r="AU66" s="350"/>
      <c r="AV66" s="618">
        <v>750.05391799999995</v>
      </c>
      <c r="AW66" s="349">
        <f t="shared" si="283"/>
        <v>-0.31196740427631975</v>
      </c>
      <c r="AX66" s="350"/>
      <c r="AY66" s="618">
        <v>179.670503</v>
      </c>
      <c r="AZ66" s="349">
        <f t="shared" si="284"/>
        <v>-0.76045655027162995</v>
      </c>
      <c r="BA66" s="350"/>
      <c r="BB66" s="618">
        <v>258.60925700000001</v>
      </c>
      <c r="BC66" s="349">
        <f t="shared" si="285"/>
        <v>0.43935288587687671</v>
      </c>
      <c r="BD66" s="800"/>
      <c r="BE66" s="808">
        <v>2026.11022</v>
      </c>
      <c r="BF66" s="349">
        <f t="shared" si="286"/>
        <v>6.8346391908159729</v>
      </c>
      <c r="BG66" s="350">
        <f t="shared" si="287"/>
        <v>0.85857288447478908</v>
      </c>
      <c r="BH66" s="618">
        <v>1753.5799730000001</v>
      </c>
      <c r="BI66" s="349">
        <f t="shared" si="288"/>
        <v>-0.13450909250139409</v>
      </c>
      <c r="BJ66" s="350">
        <f t="shared" si="289"/>
        <v>1.3379385547053433</v>
      </c>
      <c r="BK66" s="618">
        <v>1101.001565</v>
      </c>
      <c r="BL66" s="349">
        <f t="shared" si="290"/>
        <v>-0.37214065970631383</v>
      </c>
      <c r="BM66" s="350">
        <f t="shared" si="291"/>
        <v>5.1278927070182467</v>
      </c>
      <c r="BN66" s="618">
        <v>594.26599999999996</v>
      </c>
      <c r="BO66" s="349">
        <f t="shared" si="292"/>
        <v>-0.46024963188857959</v>
      </c>
      <c r="BP66" s="800">
        <f t="shared" si="293"/>
        <v>1.2979301162448333</v>
      </c>
      <c r="BQ66" s="808">
        <v>447.84499099999999</v>
      </c>
      <c r="BR66" s="349">
        <f t="shared" si="294"/>
        <v>-0.24638967903262177</v>
      </c>
      <c r="BS66" s="350">
        <f t="shared" si="295"/>
        <v>-0.7789631646989077</v>
      </c>
      <c r="BT66" s="618">
        <v>495.87177300000002</v>
      </c>
      <c r="BU66" s="349">
        <f t="shared" si="296"/>
        <v>0.10723974358351152</v>
      </c>
      <c r="BV66" s="350">
        <f t="shared" si="297"/>
        <v>-0.71722317736574648</v>
      </c>
      <c r="BW66" s="618">
        <v>2215.8453509999999</v>
      </c>
      <c r="BX66" s="349">
        <f t="shared" si="298"/>
        <v>3.4685853715654025</v>
      </c>
      <c r="BY66" s="350">
        <f t="shared" si="299"/>
        <v>1.012572389940245</v>
      </c>
      <c r="BZ66" s="618">
        <v>1612.788</v>
      </c>
      <c r="CA66" s="349">
        <f t="shared" si="300"/>
        <v>-0.27215678690204759</v>
      </c>
      <c r="CB66" s="800">
        <f t="shared" si="301"/>
        <v>1.7139159904823766</v>
      </c>
      <c r="CC66" s="808">
        <v>1396.04</v>
      </c>
      <c r="CD66" s="349">
        <f t="shared" si="302"/>
        <v>-0.13439336106171429</v>
      </c>
      <c r="CE66" s="350">
        <f t="shared" si="303"/>
        <v>2.1172392860368063</v>
      </c>
      <c r="CF66" s="808">
        <v>2057</v>
      </c>
      <c r="CG66" s="349">
        <f t="shared" si="304"/>
        <v>0.47345348270823195</v>
      </c>
      <c r="CH66" s="350">
        <f t="shared" si="305"/>
        <v>3.1482498339343872</v>
      </c>
      <c r="CI66" s="808">
        <v>2534.7139999999999</v>
      </c>
      <c r="CJ66" s="349">
        <f t="shared" si="306"/>
        <v>0.23223821098687414</v>
      </c>
      <c r="CK66" s="350">
        <f t="shared" si="307"/>
        <v>0.143903837357646</v>
      </c>
      <c r="CL66" s="618"/>
      <c r="CM66" s="349"/>
      <c r="CN66" s="800"/>
    </row>
    <row r="67" spans="1:93" ht="16.2" customHeight="1" x14ac:dyDescent="0.4">
      <c r="C67" s="799" t="s">
        <v>37</v>
      </c>
      <c r="D67" s="798" t="s">
        <v>38</v>
      </c>
      <c r="E67" s="337"/>
      <c r="F67" s="337"/>
      <c r="G67" s="337"/>
      <c r="H67" s="147"/>
      <c r="I67" s="147"/>
      <c r="K67" s="147"/>
      <c r="L67" s="147"/>
      <c r="N67" s="147"/>
      <c r="O67" s="147"/>
      <c r="Q67" s="147"/>
      <c r="R67" s="147"/>
      <c r="T67" s="147"/>
      <c r="U67" s="147"/>
      <c r="W67" s="147"/>
      <c r="X67" s="147"/>
      <c r="Z67" s="147"/>
      <c r="AA67" s="147"/>
      <c r="AC67" s="147"/>
      <c r="AD67" s="337"/>
      <c r="AG67" s="337"/>
      <c r="AJ67" s="337"/>
      <c r="AM67" s="337"/>
      <c r="AP67" s="808">
        <v>1365.4469999999999</v>
      </c>
      <c r="AQ67" s="349"/>
      <c r="AR67" s="800"/>
      <c r="AS67" s="808">
        <v>2523.0720000000001</v>
      </c>
      <c r="AT67" s="349">
        <f t="shared" si="282"/>
        <v>0.84779929209994997</v>
      </c>
      <c r="AU67" s="350"/>
      <c r="AV67" s="618">
        <v>36.027472000000003</v>
      </c>
      <c r="AW67" s="349">
        <f t="shared" si="283"/>
        <v>-0.98572079116251932</v>
      </c>
      <c r="AX67" s="350"/>
      <c r="AY67" s="618">
        <v>4.9973980000000005</v>
      </c>
      <c r="AZ67" s="349">
        <f t="shared" si="284"/>
        <v>-0.86128924061060963</v>
      </c>
      <c r="BA67" s="350"/>
      <c r="BB67" s="618">
        <v>4.5413600000000001</v>
      </c>
      <c r="BC67" s="349">
        <f t="shared" si="285"/>
        <v>-9.1255089148392865E-2</v>
      </c>
      <c r="BD67" s="800"/>
      <c r="BE67" s="808">
        <v>4.7565330000000001</v>
      </c>
      <c r="BF67" s="349">
        <f t="shared" si="286"/>
        <v>4.7380740571106417E-2</v>
      </c>
      <c r="BG67" s="350">
        <f t="shared" si="287"/>
        <v>-0.99811478507153184</v>
      </c>
      <c r="BH67" s="618" t="s">
        <v>3</v>
      </c>
      <c r="BI67" s="349">
        <f t="shared" si="288"/>
        <v>0</v>
      </c>
      <c r="BJ67" s="350">
        <f t="shared" si="289"/>
        <v>0</v>
      </c>
      <c r="BK67" s="618">
        <v>2.2112E-2</v>
      </c>
      <c r="BL67" s="349">
        <f t="shared" si="290"/>
        <v>0</v>
      </c>
      <c r="BM67" s="350">
        <f t="shared" si="291"/>
        <v>-0.99557529738475903</v>
      </c>
      <c r="BN67" s="618">
        <v>4.3999999999999997E-2</v>
      </c>
      <c r="BO67" s="349">
        <f t="shared" si="292"/>
        <v>0.98986975397973942</v>
      </c>
      <c r="BP67" s="800">
        <f t="shared" si="293"/>
        <v>-0.99031127239417271</v>
      </c>
      <c r="BQ67" s="808">
        <v>6.6869999999999999E-2</v>
      </c>
      <c r="BR67" s="349">
        <f t="shared" si="294"/>
        <v>0.51977272727272728</v>
      </c>
      <c r="BS67" s="350">
        <f t="shared" si="295"/>
        <v>-0.9859414409613052</v>
      </c>
      <c r="BT67" s="618">
        <v>0.33392500000000003</v>
      </c>
      <c r="BU67" s="349">
        <f t="shared" si="296"/>
        <v>3.9936443846268883</v>
      </c>
      <c r="BV67" s="350">
        <f t="shared" si="297"/>
        <v>0</v>
      </c>
      <c r="BW67" s="618">
        <v>0.66968300000000003</v>
      </c>
      <c r="BX67" s="349">
        <f t="shared" si="298"/>
        <v>1.005489256569589</v>
      </c>
      <c r="BY67" s="350">
        <f t="shared" si="299"/>
        <v>29.285953328509407</v>
      </c>
      <c r="BZ67" s="618">
        <v>0.14699999999999999</v>
      </c>
      <c r="CA67" s="349">
        <f t="shared" si="300"/>
        <v>-0.78049315870344627</v>
      </c>
      <c r="CB67" s="800">
        <f t="shared" si="301"/>
        <v>2.3409090909090908</v>
      </c>
      <c r="CC67" s="808">
        <v>7.48</v>
      </c>
      <c r="CD67" s="349">
        <f t="shared" si="302"/>
        <v>49.884353741496604</v>
      </c>
      <c r="CE67" s="350">
        <f t="shared" si="303"/>
        <v>110.85883056677136</v>
      </c>
      <c r="CF67" s="808">
        <v>13</v>
      </c>
      <c r="CG67" s="349">
        <f t="shared" si="304"/>
        <v>0.73796791443850251</v>
      </c>
      <c r="CH67" s="350">
        <f t="shared" si="305"/>
        <v>37.930897656659425</v>
      </c>
      <c r="CI67" s="808">
        <v>37.271000000000001</v>
      </c>
      <c r="CJ67" s="349">
        <f t="shared" si="306"/>
        <v>1.867</v>
      </c>
      <c r="CK67" s="350">
        <f t="shared" si="307"/>
        <v>54.65469035349561</v>
      </c>
      <c r="CL67" s="618"/>
      <c r="CM67" s="349"/>
      <c r="CN67" s="800"/>
    </row>
    <row r="68" spans="1:93" s="38" customFormat="1" ht="16.2" customHeight="1" x14ac:dyDescent="0.4">
      <c r="A68" s="156"/>
      <c r="B68" s="39"/>
      <c r="C68" s="803"/>
      <c r="D68" s="804"/>
      <c r="E68" s="337"/>
      <c r="F68" s="337"/>
      <c r="G68" s="337"/>
      <c r="H68" s="147"/>
      <c r="I68" s="147"/>
      <c r="J68" s="337"/>
      <c r="K68" s="147"/>
      <c r="L68" s="147"/>
      <c r="M68" s="337"/>
      <c r="N68" s="147"/>
      <c r="O68" s="147"/>
      <c r="P68" s="337"/>
      <c r="Q68" s="147"/>
      <c r="R68" s="147"/>
      <c r="S68" s="337"/>
      <c r="T68" s="147"/>
      <c r="U68" s="147"/>
      <c r="V68" s="337"/>
      <c r="W68" s="147"/>
      <c r="X68" s="147"/>
      <c r="Y68" s="337"/>
      <c r="Z68" s="147"/>
      <c r="AA68" s="147"/>
      <c r="AB68" s="337"/>
      <c r="AC68" s="147"/>
      <c r="AD68" s="337"/>
      <c r="AE68" s="337"/>
      <c r="AF68" s="337"/>
      <c r="AG68" s="337"/>
      <c r="AH68" s="337"/>
      <c r="AI68" s="337"/>
      <c r="AJ68" s="337"/>
      <c r="AK68" s="337"/>
      <c r="AL68" s="337"/>
      <c r="AM68" s="337"/>
      <c r="AN68" s="337"/>
      <c r="AO68" s="337"/>
      <c r="AP68" s="809">
        <f>ROUND(SUM(AP65:AP67),0)</f>
        <v>5715</v>
      </c>
      <c r="AQ68" s="810"/>
      <c r="AR68" s="811"/>
      <c r="AS68" s="809">
        <f>ROUND(SUM(AS65:AS67),0)</f>
        <v>8541</v>
      </c>
      <c r="AT68" s="810">
        <f t="shared" si="282"/>
        <v>0.49448818897637792</v>
      </c>
      <c r="AU68" s="814"/>
      <c r="AV68" s="815">
        <f>ROUND(SUM(AV65:AV67),0)</f>
        <v>3565</v>
      </c>
      <c r="AW68" s="810">
        <f t="shared" si="283"/>
        <v>-0.58260156890293879</v>
      </c>
      <c r="AX68" s="814"/>
      <c r="AY68" s="815">
        <f>ROUND(SUM(AY65:AY67),0)</f>
        <v>3332</v>
      </c>
      <c r="AZ68" s="810">
        <f t="shared" si="284"/>
        <v>-6.5357643758765738E-2</v>
      </c>
      <c r="BA68" s="814"/>
      <c r="BB68" s="815">
        <f>ROUND(SUM(BB65:BB67),0)</f>
        <v>2705</v>
      </c>
      <c r="BC68" s="810">
        <f t="shared" si="285"/>
        <v>-0.18817527010804325</v>
      </c>
      <c r="BD68" s="811"/>
      <c r="BE68" s="809">
        <f>ROUND(SUM(BE65:BE67),0)</f>
        <v>3831</v>
      </c>
      <c r="BF68" s="810">
        <f t="shared" si="286"/>
        <v>0.41626617375231056</v>
      </c>
      <c r="BG68" s="814">
        <f t="shared" si="287"/>
        <v>-0.5514576747453459</v>
      </c>
      <c r="BH68" s="815">
        <f>ROUND(SUM(BH65:BH67),0)</f>
        <v>3223</v>
      </c>
      <c r="BI68" s="810">
        <f t="shared" si="288"/>
        <v>-0.15870529887757767</v>
      </c>
      <c r="BJ68" s="814">
        <f t="shared" si="289"/>
        <v>-9.5932678821879391E-2</v>
      </c>
      <c r="BK68" s="815">
        <f>ROUND(SUM(BK65:BK67),0)</f>
        <v>10766</v>
      </c>
      <c r="BL68" s="810">
        <f t="shared" si="290"/>
        <v>2.3403661185231153</v>
      </c>
      <c r="BM68" s="814">
        <f t="shared" si="291"/>
        <v>2.23109243697479</v>
      </c>
      <c r="BN68" s="815">
        <f>ROUND(SUM(BN65:BN67),0)</f>
        <v>10277</v>
      </c>
      <c r="BO68" s="810">
        <f t="shared" si="292"/>
        <v>-4.5420769087869184E-2</v>
      </c>
      <c r="BP68" s="811">
        <f t="shared" si="293"/>
        <v>2.7992606284658041</v>
      </c>
      <c r="BQ68" s="809">
        <f>ROUND(SUM(BQ65:BQ67),0)</f>
        <v>9880</v>
      </c>
      <c r="BR68" s="810">
        <f t="shared" si="294"/>
        <v>-3.8629950374622912E-2</v>
      </c>
      <c r="BS68" s="814">
        <f t="shared" si="295"/>
        <v>1.5789611067606368</v>
      </c>
      <c r="BT68" s="815">
        <f>ROUND(SUM(BT65:BT67),0)</f>
        <v>1697</v>
      </c>
      <c r="BU68" s="810">
        <f t="shared" si="296"/>
        <v>-0.82823886639676114</v>
      </c>
      <c r="BV68" s="814">
        <f t="shared" si="297"/>
        <v>-0.47347192057089671</v>
      </c>
      <c r="BW68" s="815">
        <f>ROUND(SUM(BW65:BW67),0)</f>
        <v>3526</v>
      </c>
      <c r="BX68" s="810">
        <f t="shared" si="298"/>
        <v>1.0777843252799055</v>
      </c>
      <c r="BY68" s="814">
        <f t="shared" si="299"/>
        <v>-0.67248746052387143</v>
      </c>
      <c r="BZ68" s="815">
        <f>ROUND(SUM(BZ65:BZ67),0)</f>
        <v>5609</v>
      </c>
      <c r="CA68" s="810">
        <f t="shared" si="300"/>
        <v>0.59075439591605217</v>
      </c>
      <c r="CB68" s="811">
        <f t="shared" si="301"/>
        <v>-0.45421815704972268</v>
      </c>
      <c r="CC68" s="809">
        <f>ROUND(SUM(CC65:CC67),0)</f>
        <v>5181</v>
      </c>
      <c r="CD68" s="810">
        <f t="shared" si="302"/>
        <v>-7.6305936887145709E-2</v>
      </c>
      <c r="CE68" s="814">
        <f t="shared" si="303"/>
        <v>-0.47560728744939273</v>
      </c>
      <c r="CF68" s="809">
        <f>ROUND(SUM(CF65:CF67),0)</f>
        <v>6759</v>
      </c>
      <c r="CG68" s="810">
        <f t="shared" si="304"/>
        <v>0.30457440648523448</v>
      </c>
      <c r="CH68" s="814">
        <f t="shared" si="305"/>
        <v>2.9829110194460813</v>
      </c>
      <c r="CI68" s="809">
        <f>ROUND(SUM(CI65:CI67),0)</f>
        <v>7384</v>
      </c>
      <c r="CJ68" s="810">
        <f t="shared" si="306"/>
        <v>9.2469300192336235E-2</v>
      </c>
      <c r="CK68" s="814">
        <f t="shared" si="307"/>
        <v>1.0941576857629043</v>
      </c>
      <c r="CL68" s="815"/>
      <c r="CM68" s="810"/>
      <c r="CN68" s="811"/>
    </row>
    <row r="69" spans="1:93" ht="16.2" customHeight="1" x14ac:dyDescent="0.4">
      <c r="C69" s="552"/>
      <c r="D69" s="552"/>
      <c r="E69" s="337"/>
      <c r="F69" s="337"/>
      <c r="G69" s="337"/>
      <c r="H69" s="147"/>
      <c r="I69" s="147"/>
      <c r="K69" s="147"/>
      <c r="L69" s="147"/>
      <c r="N69" s="147"/>
      <c r="O69" s="147"/>
      <c r="Q69" s="147"/>
      <c r="R69" s="147"/>
      <c r="T69" s="147"/>
      <c r="U69" s="147"/>
      <c r="W69" s="147"/>
      <c r="X69" s="147"/>
      <c r="Z69" s="147"/>
      <c r="AA69" s="147"/>
      <c r="AC69" s="147"/>
      <c r="AD69" s="337"/>
      <c r="AG69" s="337"/>
      <c r="AJ69" s="337"/>
      <c r="AM69" s="337"/>
      <c r="AP69" s="552" t="b">
        <f>AP64=AP68</f>
        <v>1</v>
      </c>
      <c r="AR69" s="147"/>
      <c r="AS69" s="552" t="b">
        <f>AS64=AS68</f>
        <v>1</v>
      </c>
      <c r="AU69" s="147"/>
      <c r="AV69" s="552" t="b">
        <f>AV64=AV68</f>
        <v>1</v>
      </c>
      <c r="AX69" s="147"/>
      <c r="AY69" s="552" t="b">
        <f>AY64=AY68</f>
        <v>1</v>
      </c>
      <c r="BA69" s="147"/>
      <c r="BB69" s="552" t="b">
        <f>BB64=BB68</f>
        <v>1</v>
      </c>
      <c r="BD69" s="147"/>
      <c r="BE69" s="552" t="b">
        <f>BE64=BE68</f>
        <v>1</v>
      </c>
      <c r="BG69" s="147"/>
      <c r="BH69" s="552" t="b">
        <f>BH64=BH68</f>
        <v>1</v>
      </c>
      <c r="BJ69" s="147"/>
      <c r="BK69" s="552" t="b">
        <f>BK64=BK68</f>
        <v>1</v>
      </c>
      <c r="BM69" s="147"/>
      <c r="BN69" s="552" t="b">
        <f>BN64=BN68</f>
        <v>1</v>
      </c>
      <c r="BP69" s="147"/>
      <c r="BQ69" s="552" t="b">
        <f>BQ64=BQ68</f>
        <v>1</v>
      </c>
      <c r="BS69" s="147"/>
      <c r="BT69" s="552" t="b">
        <f>BT64=BT68</f>
        <v>1</v>
      </c>
      <c r="BV69" s="147"/>
      <c r="BW69" s="552" t="b">
        <f>BW64=BW68</f>
        <v>1</v>
      </c>
      <c r="BY69" s="147"/>
      <c r="BZ69" s="552" t="b">
        <f>BZ64=BZ68</f>
        <v>1</v>
      </c>
      <c r="CB69" s="147"/>
      <c r="CC69" s="552" t="b">
        <f>CC64=CC68</f>
        <v>1</v>
      </c>
      <c r="CE69" s="147"/>
      <c r="CF69" s="552" t="b">
        <f>CF64=CF68</f>
        <v>1</v>
      </c>
      <c r="CH69" s="147"/>
      <c r="CI69" s="552" t="b">
        <f>CI64=CI68</f>
        <v>1</v>
      </c>
      <c r="CK69" s="147"/>
      <c r="CL69" s="552"/>
      <c r="CN69" s="147"/>
    </row>
    <row r="70" spans="1:93" ht="16.2" customHeight="1" x14ac:dyDescent="0.4">
      <c r="C70" s="552"/>
      <c r="D70" s="552"/>
      <c r="E70" s="337"/>
      <c r="F70" s="337"/>
      <c r="G70" s="337"/>
      <c r="H70" s="147"/>
      <c r="I70" s="147"/>
      <c r="K70" s="147"/>
      <c r="L70" s="147"/>
      <c r="N70" s="147"/>
      <c r="O70" s="147"/>
      <c r="Q70" s="147"/>
      <c r="R70" s="147"/>
      <c r="T70" s="147"/>
      <c r="U70" s="147"/>
      <c r="W70" s="147"/>
      <c r="X70" s="147"/>
      <c r="Z70" s="147"/>
      <c r="AA70" s="147"/>
      <c r="AC70" s="147"/>
      <c r="AD70" s="337"/>
      <c r="AG70" s="337"/>
      <c r="AJ70" s="337"/>
      <c r="AM70" s="337"/>
      <c r="AP70" s="552"/>
      <c r="AR70" s="147"/>
      <c r="AS70" s="552"/>
      <c r="AU70" s="147"/>
      <c r="AV70" s="552"/>
      <c r="AX70" s="147"/>
      <c r="AY70" s="552"/>
      <c r="BA70" s="147"/>
      <c r="BB70" s="552"/>
      <c r="BD70" s="147"/>
      <c r="BE70" s="552"/>
      <c r="BG70" s="147"/>
      <c r="BH70" s="552"/>
      <c r="BJ70" s="147"/>
      <c r="BK70" s="552"/>
      <c r="BM70" s="147"/>
      <c r="BN70" s="552"/>
      <c r="BP70" s="147"/>
      <c r="BQ70" s="552"/>
      <c r="BS70" s="147"/>
      <c r="BT70" s="552"/>
      <c r="BV70" s="147"/>
      <c r="BW70" s="552"/>
      <c r="BY70" s="147"/>
      <c r="BZ70" s="552"/>
      <c r="CB70" s="147"/>
      <c r="CC70" s="552"/>
      <c r="CE70" s="147"/>
      <c r="CF70" s="552"/>
      <c r="CH70" s="147"/>
      <c r="CI70" s="552"/>
      <c r="CK70" s="147"/>
      <c r="CL70" s="552"/>
      <c r="CN70" s="147"/>
    </row>
    <row r="71" spans="1:93" ht="16.2" customHeight="1" x14ac:dyDescent="0.4">
      <c r="C71" s="801" t="s">
        <v>23</v>
      </c>
      <c r="D71" s="802" t="s">
        <v>24</v>
      </c>
      <c r="E71" s="337"/>
      <c r="F71" s="337"/>
      <c r="G71" s="337"/>
      <c r="H71" s="147"/>
      <c r="I71" s="147"/>
      <c r="K71" s="147"/>
      <c r="L71" s="147"/>
      <c r="N71" s="147"/>
      <c r="O71" s="147"/>
      <c r="Q71" s="147"/>
      <c r="R71" s="147"/>
      <c r="T71" s="147"/>
      <c r="U71" s="147"/>
      <c r="W71" s="147"/>
      <c r="X71" s="147"/>
      <c r="Z71" s="147"/>
      <c r="AA71" s="147"/>
      <c r="AC71" s="147"/>
      <c r="AD71" s="337"/>
      <c r="AG71" s="337"/>
      <c r="AJ71" s="337"/>
      <c r="AM71" s="337"/>
      <c r="AP71" s="805">
        <f t="shared" ref="AP71" si="308">ROUND(AP32,0)</f>
        <v>6743</v>
      </c>
      <c r="AQ71" s="806"/>
      <c r="AR71" s="807"/>
      <c r="AS71" s="805">
        <f>ROUND(AS32,0)</f>
        <v>6687</v>
      </c>
      <c r="AT71" s="806">
        <f t="shared" ref="AT71:AT76" si="309">IFERROR(AS71/AP71-1,0)</f>
        <v>-8.3049087943052324E-3</v>
      </c>
      <c r="AU71" s="812"/>
      <c r="AV71" s="813">
        <f>ROUND(AV32,0)</f>
        <v>6630</v>
      </c>
      <c r="AW71" s="806">
        <f t="shared" ref="AW71:AW76" si="310">IFERROR(AV71/AS71-1,0)</f>
        <v>-8.5240017945267255E-3</v>
      </c>
      <c r="AX71" s="812"/>
      <c r="AY71" s="813">
        <f>ROUND(AY32,0)</f>
        <v>12630</v>
      </c>
      <c r="AZ71" s="806">
        <f t="shared" ref="AZ71:AZ76" si="311">IFERROR(AY71/AV71-1,0)</f>
        <v>0.90497737556561075</v>
      </c>
      <c r="BA71" s="812"/>
      <c r="BB71" s="813">
        <f>ROUND(BB32,0)</f>
        <v>6293</v>
      </c>
      <c r="BC71" s="806">
        <f t="shared" ref="BC71:BC76" si="312">IFERROR(BB71/AY71-1,0)</f>
        <v>-0.50174188440221701</v>
      </c>
      <c r="BD71" s="807"/>
      <c r="BE71" s="805">
        <f>ROUND(BE32,0)</f>
        <v>4826</v>
      </c>
      <c r="BF71" s="806">
        <f t="shared" ref="BF71:BF76" si="313">IFERROR(BE71/BB71-1,0)</f>
        <v>-0.23311616081360242</v>
      </c>
      <c r="BG71" s="812">
        <f t="shared" ref="BG71:BG76" si="314">IFERROR(BE71/AS71-1,)</f>
        <v>-0.27830118139673998</v>
      </c>
      <c r="BH71" s="813">
        <f>ROUND(BH32,0)</f>
        <v>4662</v>
      </c>
      <c r="BI71" s="806">
        <f t="shared" ref="BI71:BI76" si="315">IFERROR(BH71/BE71-1,0)</f>
        <v>-3.3982594280978051E-2</v>
      </c>
      <c r="BJ71" s="812">
        <f t="shared" ref="BJ71:BJ76" si="316">IFERROR(BH71/AV71-1,)</f>
        <v>-0.29683257918552031</v>
      </c>
      <c r="BK71" s="813">
        <f>ROUND(BK32,0)</f>
        <v>5309</v>
      </c>
      <c r="BL71" s="806">
        <f t="shared" ref="BL71:BL76" si="317">IFERROR(BK71/BH71-1,0)</f>
        <v>0.13878163878163874</v>
      </c>
      <c r="BM71" s="812">
        <f t="shared" ref="BM71:BM76" si="318">IFERROR(BK71/AY71-1,)</f>
        <v>-0.57965162311955654</v>
      </c>
      <c r="BN71" s="813">
        <f>ROUND(BN32,0)</f>
        <v>5072</v>
      </c>
      <c r="BO71" s="806">
        <f t="shared" ref="BO71:BO76" si="319">IFERROR(BN71/BK71-1,0)</f>
        <v>-4.4641175362591823E-2</v>
      </c>
      <c r="BP71" s="807">
        <f t="shared" ref="BP71:BP76" si="320">IFERROR(BN71/BB71-1,)</f>
        <v>-0.19402510726203714</v>
      </c>
      <c r="BQ71" s="805">
        <f>ROUND(BQ32,0)</f>
        <v>6002</v>
      </c>
      <c r="BR71" s="806">
        <f t="shared" ref="BR71:BR76" si="321">IFERROR(BQ71/BN71-1,0)</f>
        <v>0.18335962145110418</v>
      </c>
      <c r="BS71" s="812">
        <f t="shared" ref="BS71:BS76" si="322">IFERROR(BQ71/BE71-1,)</f>
        <v>0.24368006630750094</v>
      </c>
      <c r="BT71" s="813">
        <f>ROUND(BT32,0)</f>
        <v>3945</v>
      </c>
      <c r="BU71" s="806">
        <f t="shared" ref="BU71:BU76" si="323">IFERROR(BT71/BQ71-1,0)</f>
        <v>-0.34271909363545483</v>
      </c>
      <c r="BV71" s="812">
        <f t="shared" ref="BV71:BV76" si="324">IFERROR(BT71/BH71-1,)</f>
        <v>-0.15379665379665375</v>
      </c>
      <c r="BW71" s="813">
        <f>ROUND(BW32,0)</f>
        <v>4632</v>
      </c>
      <c r="BX71" s="806">
        <f t="shared" ref="BX71:BX76" si="325">IFERROR(BW71/BT71-1,0)</f>
        <v>0.17414448669201521</v>
      </c>
      <c r="BY71" s="812">
        <f t="shared" ref="BY71:BY76" si="326">IFERROR(BW71/BK71-1,)</f>
        <v>-0.12751930683744583</v>
      </c>
      <c r="BZ71" s="813">
        <f>ROUND(BZ32,0)</f>
        <v>5530</v>
      </c>
      <c r="CA71" s="806">
        <f t="shared" ref="CA71:CA76" si="327">IFERROR(BZ71/BW71-1,0)</f>
        <v>0.19386873920552672</v>
      </c>
      <c r="CB71" s="807">
        <f t="shared" ref="CB71:CB76" si="328">IFERROR(BZ71/BN71-1,)</f>
        <v>9.0299684542586744E-2</v>
      </c>
      <c r="CC71" s="805">
        <f>ROUND(CC32,0)</f>
        <v>5479</v>
      </c>
      <c r="CD71" s="806">
        <f t="shared" ref="CD71:CD76" si="329">IFERROR(CC71/BZ71-1,0)</f>
        <v>-9.2224231464738127E-3</v>
      </c>
      <c r="CE71" s="812">
        <f t="shared" ref="CE71:CE76" si="330">IFERROR(CC71/BQ71-1,)</f>
        <v>-8.7137620793068971E-2</v>
      </c>
      <c r="CF71" s="805">
        <f>ROUND(CF32,0)</f>
        <v>4888</v>
      </c>
      <c r="CG71" s="806">
        <f t="shared" ref="CG71:CG76" si="331">IFERROR(CF71/CC71-1,0)</f>
        <v>-0.10786639897791572</v>
      </c>
      <c r="CH71" s="812">
        <f t="shared" ref="CH71:CH76" si="332">IFERROR(CF71/BT71-1,)</f>
        <v>0.23903675538656532</v>
      </c>
      <c r="CI71" s="805">
        <f>ROUND(CI32,0)</f>
        <v>3948</v>
      </c>
      <c r="CJ71" s="806">
        <f t="shared" ref="CJ71:CJ76" si="333">IFERROR(CI71/CF71-1,0)</f>
        <v>-0.19230769230769229</v>
      </c>
      <c r="CK71" s="812">
        <f t="shared" ref="CK71:CK76" si="334">IFERROR(CI71/BW71-1,)</f>
        <v>-0.14766839378238339</v>
      </c>
      <c r="CL71" s="813"/>
      <c r="CM71" s="806"/>
      <c r="CN71" s="807"/>
    </row>
    <row r="72" spans="1:93" ht="16.2" customHeight="1" x14ac:dyDescent="0.4">
      <c r="C72" s="799" t="s">
        <v>39</v>
      </c>
      <c r="D72" s="798" t="s">
        <v>40</v>
      </c>
      <c r="E72" s="337"/>
      <c r="F72" s="337"/>
      <c r="G72" s="337"/>
      <c r="H72" s="147"/>
      <c r="I72" s="147"/>
      <c r="K72" s="147"/>
      <c r="L72" s="147"/>
      <c r="N72" s="147"/>
      <c r="O72" s="147"/>
      <c r="Q72" s="147"/>
      <c r="R72" s="147"/>
      <c r="T72" s="147"/>
      <c r="U72" s="147"/>
      <c r="W72" s="147"/>
      <c r="X72" s="147"/>
      <c r="Z72" s="147"/>
      <c r="AA72" s="147"/>
      <c r="AC72" s="147"/>
      <c r="AD72" s="337"/>
      <c r="AG72" s="337"/>
      <c r="AJ72" s="337"/>
      <c r="AM72" s="337"/>
      <c r="AP72" s="808">
        <v>1243.5340000000001</v>
      </c>
      <c r="AQ72" s="349"/>
      <c r="AR72" s="800"/>
      <c r="AS72" s="808">
        <v>350.029</v>
      </c>
      <c r="AT72" s="349">
        <f t="shared" si="309"/>
        <v>-0.71852076420910094</v>
      </c>
      <c r="AU72" s="350"/>
      <c r="AV72" s="618">
        <v>105.34367</v>
      </c>
      <c r="AW72" s="349">
        <f t="shared" si="310"/>
        <v>-0.69904302214959335</v>
      </c>
      <c r="AX72" s="350"/>
      <c r="AY72" s="618">
        <v>253.35703000000001</v>
      </c>
      <c r="AZ72" s="349">
        <f t="shared" si="311"/>
        <v>1.4050522447148461</v>
      </c>
      <c r="BA72" s="350"/>
      <c r="BB72" s="618">
        <v>4.4985270000000002</v>
      </c>
      <c r="BC72" s="349">
        <f t="shared" si="312"/>
        <v>-0.98224431743614926</v>
      </c>
      <c r="BD72" s="800"/>
      <c r="BE72" s="808">
        <v>6.3120519999999996</v>
      </c>
      <c r="BF72" s="349">
        <f t="shared" si="313"/>
        <v>0.40313751590242752</v>
      </c>
      <c r="BG72" s="350">
        <f t="shared" si="314"/>
        <v>-0.98196705987218202</v>
      </c>
      <c r="BH72" s="618">
        <v>7.7556520000000004</v>
      </c>
      <c r="BI72" s="349">
        <f t="shared" si="315"/>
        <v>0.22870534019681732</v>
      </c>
      <c r="BJ72" s="350">
        <f t="shared" si="316"/>
        <v>-0.92637761718383271</v>
      </c>
      <c r="BK72" s="618">
        <v>9.5444019999999998</v>
      </c>
      <c r="BL72" s="349">
        <f t="shared" si="317"/>
        <v>0.23063824936962085</v>
      </c>
      <c r="BM72" s="350">
        <f t="shared" si="318"/>
        <v>-0.96232825274277967</v>
      </c>
      <c r="BN72" s="618">
        <v>0.11600000000000001</v>
      </c>
      <c r="BO72" s="349">
        <f t="shared" si="319"/>
        <v>-0.98784627889730547</v>
      </c>
      <c r="BP72" s="800">
        <f t="shared" si="320"/>
        <v>-0.97421378153337745</v>
      </c>
      <c r="BQ72" s="808">
        <v>0.3669</v>
      </c>
      <c r="BR72" s="349">
        <f t="shared" si="321"/>
        <v>2.1629310344827584</v>
      </c>
      <c r="BS72" s="350">
        <f t="shared" si="322"/>
        <v>-0.941873102439587</v>
      </c>
      <c r="BT72" s="618">
        <v>0.32715</v>
      </c>
      <c r="BU72" s="349">
        <f t="shared" si="323"/>
        <v>-0.10834014717906792</v>
      </c>
      <c r="BV72" s="350">
        <f t="shared" si="324"/>
        <v>-0.95781785980082657</v>
      </c>
      <c r="BW72" s="618">
        <v>3.1820539999999999</v>
      </c>
      <c r="BX72" s="349">
        <f t="shared" si="325"/>
        <v>8.7265902491211982</v>
      </c>
      <c r="BY72" s="350">
        <f t="shared" si="326"/>
        <v>-0.6666051995714346</v>
      </c>
      <c r="BZ72" s="618">
        <v>19.966000000000001</v>
      </c>
      <c r="CA72" s="349">
        <f t="shared" si="327"/>
        <v>5.2745635366338854</v>
      </c>
      <c r="CB72" s="800">
        <f t="shared" si="328"/>
        <v>171.12068965517241</v>
      </c>
      <c r="CC72" s="808">
        <v>266.45999999999998</v>
      </c>
      <c r="CD72" s="349">
        <f t="shared" si="329"/>
        <v>12.345687669037362</v>
      </c>
      <c r="CE72" s="350">
        <f t="shared" si="330"/>
        <v>725.24693376941934</v>
      </c>
      <c r="CF72" s="808">
        <v>35</v>
      </c>
      <c r="CG72" s="349">
        <f t="shared" si="331"/>
        <v>-0.86864820235682649</v>
      </c>
      <c r="CH72" s="350">
        <f t="shared" si="332"/>
        <v>105.98456365581538</v>
      </c>
      <c r="CI72" s="808">
        <v>254.55799999999999</v>
      </c>
      <c r="CJ72" s="349">
        <f t="shared" si="333"/>
        <v>6.2730857142857142</v>
      </c>
      <c r="CK72" s="350">
        <f t="shared" si="334"/>
        <v>78.998013861486953</v>
      </c>
      <c r="CL72" s="618"/>
      <c r="CM72" s="349"/>
      <c r="CN72" s="800"/>
    </row>
    <row r="73" spans="1:93" ht="16.2" customHeight="1" x14ac:dyDescent="0.4">
      <c r="C73" s="799" t="s">
        <v>41</v>
      </c>
      <c r="D73" s="798" t="s">
        <v>42</v>
      </c>
      <c r="E73" s="337"/>
      <c r="F73" s="337"/>
      <c r="G73" s="337"/>
      <c r="H73" s="147"/>
      <c r="I73" s="147"/>
      <c r="K73" s="147"/>
      <c r="L73" s="147"/>
      <c r="N73" s="147"/>
      <c r="O73" s="147"/>
      <c r="Q73" s="147"/>
      <c r="R73" s="147"/>
      <c r="T73" s="147"/>
      <c r="U73" s="147"/>
      <c r="W73" s="147"/>
      <c r="X73" s="147"/>
      <c r="Z73" s="147"/>
      <c r="AA73" s="147"/>
      <c r="AC73" s="147"/>
      <c r="AD73" s="337"/>
      <c r="AG73" s="337"/>
      <c r="AJ73" s="337"/>
      <c r="AM73" s="337"/>
      <c r="AP73" s="808">
        <v>0</v>
      </c>
      <c r="AQ73" s="349"/>
      <c r="AR73" s="800"/>
      <c r="AS73" s="808">
        <v>0</v>
      </c>
      <c r="AT73" s="349">
        <f t="shared" si="309"/>
        <v>0</v>
      </c>
      <c r="AU73" s="350"/>
      <c r="AV73" s="618">
        <v>0</v>
      </c>
      <c r="AW73" s="349">
        <f t="shared" si="310"/>
        <v>0</v>
      </c>
      <c r="AX73" s="350"/>
      <c r="AY73" s="618">
        <v>19.603116999999997</v>
      </c>
      <c r="AZ73" s="349">
        <f t="shared" si="311"/>
        <v>0</v>
      </c>
      <c r="BA73" s="350"/>
      <c r="BB73" s="618">
        <v>975.35790500000007</v>
      </c>
      <c r="BC73" s="349">
        <f t="shared" si="312"/>
        <v>48.755245811163611</v>
      </c>
      <c r="BD73" s="800"/>
      <c r="BE73" s="808">
        <v>293.22805499999998</v>
      </c>
      <c r="BF73" s="349">
        <f t="shared" si="313"/>
        <v>-0.69936363513658106</v>
      </c>
      <c r="BG73" s="350">
        <f t="shared" si="314"/>
        <v>0</v>
      </c>
      <c r="BH73" s="618">
        <v>145.33535800000001</v>
      </c>
      <c r="BI73" s="349">
        <f t="shared" si="315"/>
        <v>-0.50436066562594073</v>
      </c>
      <c r="BJ73" s="350">
        <f t="shared" si="316"/>
        <v>0</v>
      </c>
      <c r="BK73" s="618">
        <v>471.96758599999998</v>
      </c>
      <c r="BL73" s="349">
        <f t="shared" si="317"/>
        <v>2.2474381492217463</v>
      </c>
      <c r="BM73" s="350">
        <f t="shared" si="318"/>
        <v>23.076150032670828</v>
      </c>
      <c r="BN73" s="618">
        <v>438.04</v>
      </c>
      <c r="BO73" s="349">
        <f t="shared" si="319"/>
        <v>-7.1885415453085688E-2</v>
      </c>
      <c r="BP73" s="800">
        <f t="shared" si="320"/>
        <v>-0.55089306422343498</v>
      </c>
      <c r="BQ73" s="808">
        <v>298.37707499999999</v>
      </c>
      <c r="BR73" s="349">
        <f t="shared" si="321"/>
        <v>-0.31883600812711177</v>
      </c>
      <c r="BS73" s="350">
        <f t="shared" si="322"/>
        <v>1.7559779537466236E-2</v>
      </c>
      <c r="BT73" s="618">
        <v>417.74907300000001</v>
      </c>
      <c r="BU73" s="349">
        <f t="shared" si="323"/>
        <v>0.400070943788158</v>
      </c>
      <c r="BV73" s="350">
        <f t="shared" si="324"/>
        <v>1.8743801835201035</v>
      </c>
      <c r="BW73" s="618">
        <v>0</v>
      </c>
      <c r="BX73" s="349">
        <f t="shared" si="325"/>
        <v>-1</v>
      </c>
      <c r="BY73" s="350">
        <f t="shared" si="326"/>
        <v>-1</v>
      </c>
      <c r="BZ73" s="618">
        <v>0</v>
      </c>
      <c r="CA73" s="349">
        <f t="shared" si="327"/>
        <v>0</v>
      </c>
      <c r="CB73" s="800">
        <f t="shared" si="328"/>
        <v>-1</v>
      </c>
      <c r="CC73" s="808">
        <v>0.43</v>
      </c>
      <c r="CD73" s="349">
        <f t="shared" si="329"/>
        <v>0</v>
      </c>
      <c r="CE73" s="350">
        <f t="shared" si="330"/>
        <v>-0.99855887051644299</v>
      </c>
      <c r="CF73" s="808">
        <v>3</v>
      </c>
      <c r="CG73" s="349">
        <f t="shared" si="331"/>
        <v>5.9767441860465116</v>
      </c>
      <c r="CH73" s="350">
        <f t="shared" si="332"/>
        <v>-0.99281865551859649</v>
      </c>
      <c r="CI73" s="808">
        <v>3.4489999999999998</v>
      </c>
      <c r="CJ73" s="349">
        <f t="shared" si="333"/>
        <v>0.14966666666666661</v>
      </c>
      <c r="CK73" s="350">
        <f t="shared" si="334"/>
        <v>0</v>
      </c>
      <c r="CL73" s="618"/>
      <c r="CM73" s="349"/>
      <c r="CN73" s="800"/>
    </row>
    <row r="74" spans="1:93" ht="16.2" customHeight="1" x14ac:dyDescent="0.4">
      <c r="C74" s="799" t="s">
        <v>43</v>
      </c>
      <c r="D74" s="798" t="s">
        <v>44</v>
      </c>
      <c r="E74" s="337"/>
      <c r="F74" s="337"/>
      <c r="G74" s="337"/>
      <c r="H74" s="147"/>
      <c r="I74" s="147"/>
      <c r="K74" s="147"/>
      <c r="L74" s="147"/>
      <c r="N74" s="147"/>
      <c r="O74" s="147"/>
      <c r="Q74" s="147"/>
      <c r="R74" s="147"/>
      <c r="T74" s="147"/>
      <c r="U74" s="147"/>
      <c r="W74" s="147"/>
      <c r="X74" s="147"/>
      <c r="Z74" s="147"/>
      <c r="AA74" s="147"/>
      <c r="AC74" s="147"/>
      <c r="AD74" s="337"/>
      <c r="AG74" s="337"/>
      <c r="AJ74" s="337"/>
      <c r="AM74" s="337"/>
      <c r="AP74" s="808">
        <v>5499.2839999999997</v>
      </c>
      <c r="AQ74" s="349"/>
      <c r="AR74" s="800"/>
      <c r="AS74" s="808">
        <v>6337.1589999999997</v>
      </c>
      <c r="AT74" s="349">
        <f t="shared" si="309"/>
        <v>0.15236074368954222</v>
      </c>
      <c r="AU74" s="350"/>
      <c r="AV74" s="618">
        <v>6525.123646</v>
      </c>
      <c r="AW74" s="349">
        <f t="shared" si="310"/>
        <v>2.9660711684841745E-2</v>
      </c>
      <c r="AX74" s="350"/>
      <c r="AY74" s="618">
        <v>12357.352303</v>
      </c>
      <c r="AZ74" s="349">
        <f t="shared" si="311"/>
        <v>0.89381120932095204</v>
      </c>
      <c r="BA74" s="350"/>
      <c r="BB74" s="618">
        <v>5313.3263299999999</v>
      </c>
      <c r="BC74" s="349">
        <f t="shared" si="312"/>
        <v>-0.57002712233832797</v>
      </c>
      <c r="BD74" s="800"/>
      <c r="BE74" s="808">
        <v>4526.287002</v>
      </c>
      <c r="BF74" s="349">
        <f t="shared" si="313"/>
        <v>-0.14812553927964744</v>
      </c>
      <c r="BG74" s="350">
        <f t="shared" si="314"/>
        <v>-0.28575454679297141</v>
      </c>
      <c r="BH74" s="618">
        <v>4508.4908890000006</v>
      </c>
      <c r="BI74" s="349">
        <f t="shared" si="315"/>
        <v>-3.9317243895793386E-3</v>
      </c>
      <c r="BJ74" s="350">
        <f t="shared" si="316"/>
        <v>-0.30905663500127323</v>
      </c>
      <c r="BK74" s="618">
        <v>4827.609316</v>
      </c>
      <c r="BL74" s="349">
        <f t="shared" si="317"/>
        <v>7.07816506358252E-2</v>
      </c>
      <c r="BM74" s="350">
        <f t="shared" si="318"/>
        <v>-0.60933303529527127</v>
      </c>
      <c r="BN74" s="618">
        <v>4634.01</v>
      </c>
      <c r="BO74" s="349">
        <f t="shared" si="319"/>
        <v>-4.0102523490946007E-2</v>
      </c>
      <c r="BP74" s="800">
        <f t="shared" si="320"/>
        <v>-0.12785142259462912</v>
      </c>
      <c r="BQ74" s="808">
        <v>5703.0082339999999</v>
      </c>
      <c r="BR74" s="349">
        <f t="shared" si="321"/>
        <v>0.23068535329013096</v>
      </c>
      <c r="BS74" s="350">
        <f t="shared" si="322"/>
        <v>0.25997494888858119</v>
      </c>
      <c r="BT74" s="618">
        <v>3527.1302330000003</v>
      </c>
      <c r="BU74" s="349">
        <f t="shared" si="323"/>
        <v>-0.38153162536710439</v>
      </c>
      <c r="BV74" s="350">
        <f t="shared" si="324"/>
        <v>-0.21766943311216702</v>
      </c>
      <c r="BW74" s="618">
        <v>4629.0795450000005</v>
      </c>
      <c r="BX74" s="349">
        <f t="shared" si="325"/>
        <v>0.31242093124039183</v>
      </c>
      <c r="BY74" s="350">
        <f t="shared" si="326"/>
        <v>-4.1123827137796387E-2</v>
      </c>
      <c r="BZ74" s="618">
        <v>5287.1030000000001</v>
      </c>
      <c r="CA74" s="349">
        <f t="shared" si="327"/>
        <v>0.14214995629330884</v>
      </c>
      <c r="CB74" s="800">
        <f t="shared" si="328"/>
        <v>0.14093474118528015</v>
      </c>
      <c r="CC74" s="808">
        <v>5211.62</v>
      </c>
      <c r="CD74" s="349">
        <f t="shared" si="329"/>
        <v>-1.427681662339475E-2</v>
      </c>
      <c r="CE74" s="350">
        <f t="shared" si="330"/>
        <v>-8.6162988696116272E-2</v>
      </c>
      <c r="CF74" s="808">
        <v>4850</v>
      </c>
      <c r="CG74" s="349">
        <f t="shared" si="331"/>
        <v>-6.9387253867319587E-2</v>
      </c>
      <c r="CH74" s="350">
        <f t="shared" si="332"/>
        <v>0.37505554930270679</v>
      </c>
      <c r="CI74" s="808">
        <v>3690.1660000000002</v>
      </c>
      <c r="CJ74" s="349">
        <f t="shared" si="333"/>
        <v>-0.23914103092783501</v>
      </c>
      <c r="CK74" s="350">
        <f t="shared" si="334"/>
        <v>-0.20282942556347894</v>
      </c>
      <c r="CL74" s="618"/>
      <c r="CM74" s="349"/>
      <c r="CN74" s="800"/>
    </row>
    <row r="75" spans="1:93" ht="16.2" customHeight="1" x14ac:dyDescent="0.4">
      <c r="C75" s="799" t="s">
        <v>487</v>
      </c>
      <c r="D75" s="798" t="s">
        <v>488</v>
      </c>
      <c r="E75" s="337"/>
      <c r="F75" s="337"/>
      <c r="G75" s="337"/>
      <c r="H75" s="147"/>
      <c r="I75" s="147"/>
      <c r="K75" s="147"/>
      <c r="L75" s="147"/>
      <c r="N75" s="147"/>
      <c r="O75" s="147"/>
      <c r="Q75" s="147"/>
      <c r="R75" s="147"/>
      <c r="T75" s="147"/>
      <c r="U75" s="147"/>
      <c r="W75" s="147"/>
      <c r="X75" s="147"/>
      <c r="Z75" s="147"/>
      <c r="AA75" s="147"/>
      <c r="AC75" s="147"/>
      <c r="AD75" s="337"/>
      <c r="AG75" s="337"/>
      <c r="AJ75" s="337"/>
      <c r="AM75" s="337"/>
      <c r="AP75" s="808"/>
      <c r="AQ75" s="349"/>
      <c r="AR75" s="800"/>
      <c r="AS75" s="808"/>
      <c r="AT75" s="349"/>
      <c r="AU75" s="350"/>
      <c r="AV75" s="618"/>
      <c r="AW75" s="349"/>
      <c r="AX75" s="350"/>
      <c r="AY75" s="618"/>
      <c r="AZ75" s="349"/>
      <c r="BA75" s="350"/>
      <c r="BB75" s="618"/>
      <c r="BC75" s="349"/>
      <c r="BD75" s="800"/>
      <c r="BE75" s="808"/>
      <c r="BF75" s="349"/>
      <c r="BG75" s="350"/>
      <c r="BH75" s="618"/>
      <c r="BI75" s="349"/>
      <c r="BJ75" s="350"/>
      <c r="BK75" s="618"/>
      <c r="BL75" s="349"/>
      <c r="BM75" s="350"/>
      <c r="BN75" s="618"/>
      <c r="BO75" s="349"/>
      <c r="BP75" s="800"/>
      <c r="BQ75" s="808"/>
      <c r="BR75" s="349"/>
      <c r="BS75" s="350"/>
      <c r="BT75" s="618"/>
      <c r="BU75" s="349"/>
      <c r="BV75" s="350"/>
      <c r="BW75" s="618"/>
      <c r="BX75" s="349"/>
      <c r="BY75" s="350"/>
      <c r="BZ75" s="618">
        <v>222.459</v>
      </c>
      <c r="CA75" s="349"/>
      <c r="CB75" s="800"/>
      <c r="CC75" s="808">
        <v>0</v>
      </c>
      <c r="CD75" s="349">
        <f t="shared" si="329"/>
        <v>-1</v>
      </c>
      <c r="CE75" s="350"/>
      <c r="CF75" s="808">
        <v>0</v>
      </c>
      <c r="CG75" s="349">
        <f t="shared" si="331"/>
        <v>0</v>
      </c>
      <c r="CH75" s="350"/>
      <c r="CI75" s="808">
        <v>0</v>
      </c>
      <c r="CJ75" s="349">
        <f t="shared" si="333"/>
        <v>0</v>
      </c>
      <c r="CK75" s="350"/>
      <c r="CL75" s="618"/>
      <c r="CM75" s="349"/>
      <c r="CN75" s="800"/>
    </row>
    <row r="76" spans="1:93" s="38" customFormat="1" ht="16.2" customHeight="1" x14ac:dyDescent="0.4">
      <c r="A76" s="156"/>
      <c r="B76" s="39"/>
      <c r="C76" s="803"/>
      <c r="D76" s="804"/>
      <c r="E76" s="337"/>
      <c r="F76" s="337"/>
      <c r="G76" s="337"/>
      <c r="H76" s="147"/>
      <c r="I76" s="147"/>
      <c r="J76" s="337"/>
      <c r="K76" s="147"/>
      <c r="L76" s="147"/>
      <c r="M76" s="337"/>
      <c r="N76" s="147"/>
      <c r="O76" s="147"/>
      <c r="P76" s="337"/>
      <c r="Q76" s="147"/>
      <c r="R76" s="147"/>
      <c r="S76" s="337"/>
      <c r="T76" s="147"/>
      <c r="U76" s="147"/>
      <c r="V76" s="337"/>
      <c r="W76" s="147"/>
      <c r="X76" s="147"/>
      <c r="Y76" s="337"/>
      <c r="Z76" s="147"/>
      <c r="AA76" s="147"/>
      <c r="AB76" s="337"/>
      <c r="AC76" s="147"/>
      <c r="AD76" s="337"/>
      <c r="AE76" s="337"/>
      <c r="AF76" s="337"/>
      <c r="AG76" s="337"/>
      <c r="AH76" s="337"/>
      <c r="AI76" s="337"/>
      <c r="AJ76" s="337"/>
      <c r="AK76" s="337"/>
      <c r="AL76" s="337"/>
      <c r="AM76" s="337"/>
      <c r="AN76" s="337"/>
      <c r="AO76" s="337"/>
      <c r="AP76" s="809">
        <f>ROUND(SUM(AP72:AP74),0)</f>
        <v>6743</v>
      </c>
      <c r="AQ76" s="810"/>
      <c r="AR76" s="811"/>
      <c r="AS76" s="809">
        <f>ROUND(SUM(AS72:AS74),0)</f>
        <v>6687</v>
      </c>
      <c r="AT76" s="810">
        <f t="shared" si="309"/>
        <v>-8.3049087943052324E-3</v>
      </c>
      <c r="AU76" s="814"/>
      <c r="AV76" s="815">
        <f>ROUND(SUM(AV72:AV74),0)</f>
        <v>6630</v>
      </c>
      <c r="AW76" s="810">
        <f t="shared" si="310"/>
        <v>-8.5240017945267255E-3</v>
      </c>
      <c r="AX76" s="814"/>
      <c r="AY76" s="815">
        <f>ROUND(SUM(AY72:AY74),0)</f>
        <v>12630</v>
      </c>
      <c r="AZ76" s="810">
        <f t="shared" si="311"/>
        <v>0.90497737556561075</v>
      </c>
      <c r="BA76" s="814"/>
      <c r="BB76" s="815">
        <f>ROUND(SUM(BB72:BB74),0)</f>
        <v>6293</v>
      </c>
      <c r="BC76" s="810">
        <f t="shared" si="312"/>
        <v>-0.50174188440221701</v>
      </c>
      <c r="BD76" s="811"/>
      <c r="BE76" s="809">
        <f>ROUND(SUM(BE72:BE74),0)</f>
        <v>4826</v>
      </c>
      <c r="BF76" s="810">
        <f t="shared" si="313"/>
        <v>-0.23311616081360242</v>
      </c>
      <c r="BG76" s="814">
        <f t="shared" si="314"/>
        <v>-0.27830118139673998</v>
      </c>
      <c r="BH76" s="815">
        <f>ROUND(SUM(BH72:BH74),0)</f>
        <v>4662</v>
      </c>
      <c r="BI76" s="810">
        <f t="shared" si="315"/>
        <v>-3.3982594280978051E-2</v>
      </c>
      <c r="BJ76" s="814">
        <f t="shared" si="316"/>
        <v>-0.29683257918552031</v>
      </c>
      <c r="BK76" s="815">
        <f>ROUND(SUM(BK72:BK74),0)</f>
        <v>5309</v>
      </c>
      <c r="BL76" s="810">
        <f t="shared" si="317"/>
        <v>0.13878163878163874</v>
      </c>
      <c r="BM76" s="814">
        <f t="shared" si="318"/>
        <v>-0.57965162311955654</v>
      </c>
      <c r="BN76" s="815">
        <f>ROUND(SUM(BN72:BN74),0)</f>
        <v>5072</v>
      </c>
      <c r="BO76" s="810">
        <f t="shared" si="319"/>
        <v>-4.4641175362591823E-2</v>
      </c>
      <c r="BP76" s="811">
        <f t="shared" si="320"/>
        <v>-0.19402510726203714</v>
      </c>
      <c r="BQ76" s="809">
        <f>ROUND(SUM(BQ72:BQ74),0)</f>
        <v>6002</v>
      </c>
      <c r="BR76" s="810">
        <f t="shared" si="321"/>
        <v>0.18335962145110418</v>
      </c>
      <c r="BS76" s="814">
        <f t="shared" si="322"/>
        <v>0.24368006630750094</v>
      </c>
      <c r="BT76" s="815">
        <f>ROUND(SUM(BT72:BT74),0)</f>
        <v>3945</v>
      </c>
      <c r="BU76" s="810">
        <f t="shared" si="323"/>
        <v>-0.34271909363545483</v>
      </c>
      <c r="BV76" s="814">
        <f t="shared" si="324"/>
        <v>-0.15379665379665375</v>
      </c>
      <c r="BW76" s="815">
        <f>ROUND(SUM(BW72:BW74),0)</f>
        <v>4632</v>
      </c>
      <c r="BX76" s="810">
        <f t="shared" si="325"/>
        <v>0.17414448669201521</v>
      </c>
      <c r="BY76" s="814">
        <f t="shared" si="326"/>
        <v>-0.12751930683744583</v>
      </c>
      <c r="BZ76" s="815">
        <f>ROUND(SUM(BZ72:BZ75),0)</f>
        <v>5530</v>
      </c>
      <c r="CA76" s="810">
        <f t="shared" si="327"/>
        <v>0.19386873920552672</v>
      </c>
      <c r="CB76" s="811">
        <f t="shared" si="328"/>
        <v>9.0299684542586744E-2</v>
      </c>
      <c r="CC76" s="809">
        <f>ROUND(SUM(CC72:CC74),0)</f>
        <v>5479</v>
      </c>
      <c r="CD76" s="810">
        <f t="shared" si="329"/>
        <v>-9.2224231464738127E-3</v>
      </c>
      <c r="CE76" s="814">
        <f t="shared" si="330"/>
        <v>-8.7137620793068971E-2</v>
      </c>
      <c r="CF76" s="809">
        <f>ROUND(SUM(CF72:CF74),0)</f>
        <v>4888</v>
      </c>
      <c r="CG76" s="810">
        <f t="shared" si="331"/>
        <v>-0.10786639897791572</v>
      </c>
      <c r="CH76" s="814">
        <f t="shared" si="332"/>
        <v>0.23903675538656532</v>
      </c>
      <c r="CI76" s="809">
        <f>ROUND(SUM(CI72:CI74),0)</f>
        <v>3948</v>
      </c>
      <c r="CJ76" s="810">
        <f t="shared" si="333"/>
        <v>-0.19230769230769229</v>
      </c>
      <c r="CK76" s="814">
        <f t="shared" si="334"/>
        <v>-0.14766839378238339</v>
      </c>
      <c r="CL76" s="815"/>
      <c r="CM76" s="810"/>
      <c r="CN76" s="811"/>
      <c r="CO76" s="816"/>
    </row>
    <row r="77" spans="1:93" ht="16.2" customHeight="1" x14ac:dyDescent="0.4">
      <c r="E77" s="337"/>
      <c r="F77" s="337"/>
      <c r="G77" s="337"/>
      <c r="H77" s="147"/>
      <c r="I77" s="147"/>
      <c r="K77" s="147"/>
      <c r="L77" s="147"/>
      <c r="N77" s="147"/>
      <c r="O77" s="147"/>
      <c r="Q77" s="147"/>
      <c r="R77" s="147"/>
      <c r="T77" s="147"/>
      <c r="U77" s="147"/>
      <c r="W77" s="147"/>
      <c r="X77" s="147"/>
      <c r="Z77" s="147"/>
      <c r="AA77" s="147"/>
      <c r="AC77" s="147"/>
      <c r="AD77" s="337"/>
      <c r="AG77" s="337"/>
      <c r="AJ77" s="337"/>
      <c r="AM77" s="337"/>
      <c r="AP77" s="147" t="b">
        <f>AP71=AP76</f>
        <v>1</v>
      </c>
      <c r="AR77" s="147"/>
      <c r="AS77" s="147" t="b">
        <f>AS71=AS76</f>
        <v>1</v>
      </c>
      <c r="AU77" s="147"/>
      <c r="AV77" s="147" t="b">
        <f>AV71=AV76</f>
        <v>1</v>
      </c>
      <c r="AX77" s="147"/>
      <c r="AY77" s="147" t="b">
        <f>AY71=AY76</f>
        <v>1</v>
      </c>
      <c r="BA77" s="147"/>
      <c r="BB77" s="147" t="b">
        <f>BB71=BB76</f>
        <v>1</v>
      </c>
      <c r="BD77" s="147"/>
      <c r="BE77" s="552" t="b">
        <f>BE71=BE76</f>
        <v>1</v>
      </c>
      <c r="BG77" s="147"/>
      <c r="BH77" s="552" t="b">
        <f>BH71=BH76</f>
        <v>1</v>
      </c>
      <c r="BJ77" s="147"/>
      <c r="BK77" s="552" t="b">
        <f>BK71=BK76</f>
        <v>1</v>
      </c>
      <c r="BM77" s="147"/>
      <c r="BN77" s="552" t="b">
        <f>BN71=BN76</f>
        <v>1</v>
      </c>
      <c r="BP77" s="147"/>
      <c r="BQ77" s="552" t="b">
        <f>BQ71=BQ76</f>
        <v>1</v>
      </c>
      <c r="BS77" s="147"/>
      <c r="BT77" s="552" t="b">
        <f>BT71=BT76</f>
        <v>1</v>
      </c>
      <c r="BV77" s="147"/>
      <c r="BW77" s="552" t="b">
        <f>BW71=BW76</f>
        <v>1</v>
      </c>
      <c r="BY77" s="147"/>
      <c r="BZ77" s="552" t="b">
        <f>BZ71=BZ76</f>
        <v>1</v>
      </c>
      <c r="CB77" s="147"/>
      <c r="CC77" s="552" t="b">
        <f>CC71=CC76</f>
        <v>1</v>
      </c>
      <c r="CE77" s="147"/>
      <c r="CF77" s="552" t="b">
        <f>CF71=CF76</f>
        <v>1</v>
      </c>
      <c r="CH77" s="147"/>
      <c r="CI77" s="552" t="b">
        <f>CI71=CI76</f>
        <v>1</v>
      </c>
      <c r="CK77" s="147"/>
      <c r="CL77" s="552"/>
      <c r="CN77" s="147"/>
    </row>
    <row r="78" spans="1:93" ht="16.2" customHeight="1" x14ac:dyDescent="0.4">
      <c r="E78" s="337"/>
      <c r="F78" s="337"/>
      <c r="G78" s="337"/>
      <c r="H78" s="337"/>
      <c r="I78" s="337"/>
      <c r="L78" s="337"/>
      <c r="O78" s="337"/>
      <c r="R78" s="337"/>
      <c r="U78" s="337"/>
      <c r="X78" s="337"/>
      <c r="AA78" s="337"/>
      <c r="AD78" s="337"/>
      <c r="AG78" s="337"/>
      <c r="AJ78" s="337"/>
      <c r="AM78" s="337"/>
      <c r="AP78" s="337"/>
      <c r="AS78" s="337"/>
      <c r="AV78" s="337"/>
      <c r="AY78" s="337"/>
      <c r="BB78" s="337"/>
      <c r="BE78" s="337"/>
      <c r="BH78" s="337"/>
      <c r="BK78" s="337"/>
      <c r="BN78" s="337"/>
      <c r="BQ78" s="337"/>
      <c r="BT78" s="337"/>
      <c r="BW78" s="337"/>
      <c r="BZ78" s="337"/>
      <c r="CC78" s="337"/>
      <c r="CF78" s="337"/>
      <c r="CI78" s="337"/>
      <c r="CL78" s="337"/>
    </row>
    <row r="79" spans="1:93" s="6" customFormat="1" ht="16.2" customHeight="1" x14ac:dyDescent="0.4">
      <c r="A79" s="156"/>
      <c r="B79" s="875"/>
      <c r="C79" s="874" t="str">
        <f>C28</f>
        <v>기타채무</v>
      </c>
      <c r="D79" s="876" t="str">
        <f t="shared" ref="D79:BO79" si="335">D28</f>
        <v>Other Liabilities</v>
      </c>
      <c r="E79" s="877">
        <f t="shared" si="335"/>
        <v>0</v>
      </c>
      <c r="F79" s="877">
        <f t="shared" si="335"/>
        <v>0</v>
      </c>
      <c r="G79" s="877">
        <f t="shared" si="335"/>
        <v>0</v>
      </c>
      <c r="H79" s="878">
        <f t="shared" si="335"/>
        <v>0</v>
      </c>
      <c r="I79" s="878">
        <f t="shared" si="335"/>
        <v>0</v>
      </c>
      <c r="J79" s="877">
        <f t="shared" si="335"/>
        <v>0</v>
      </c>
      <c r="K79" s="878">
        <f t="shared" si="335"/>
        <v>0</v>
      </c>
      <c r="L79" s="878">
        <f t="shared" si="335"/>
        <v>0</v>
      </c>
      <c r="M79" s="877">
        <f t="shared" si="335"/>
        <v>0</v>
      </c>
      <c r="N79" s="878">
        <f t="shared" si="335"/>
        <v>0</v>
      </c>
      <c r="O79" s="878">
        <f t="shared" si="335"/>
        <v>0</v>
      </c>
      <c r="P79" s="877">
        <f t="shared" si="335"/>
        <v>0</v>
      </c>
      <c r="Q79" s="878">
        <f t="shared" si="335"/>
        <v>0</v>
      </c>
      <c r="R79" s="878">
        <f t="shared" si="335"/>
        <v>0</v>
      </c>
      <c r="S79" s="877">
        <f t="shared" si="335"/>
        <v>0</v>
      </c>
      <c r="T79" s="878">
        <f t="shared" si="335"/>
        <v>0</v>
      </c>
      <c r="U79" s="878">
        <f t="shared" si="335"/>
        <v>0</v>
      </c>
      <c r="V79" s="877">
        <f t="shared" si="335"/>
        <v>0</v>
      </c>
      <c r="W79" s="878">
        <f t="shared" si="335"/>
        <v>0</v>
      </c>
      <c r="X79" s="878">
        <f t="shared" si="335"/>
        <v>0</v>
      </c>
      <c r="Y79" s="877">
        <f t="shared" si="335"/>
        <v>0</v>
      </c>
      <c r="Z79" s="878">
        <f t="shared" si="335"/>
        <v>0</v>
      </c>
      <c r="AA79" s="878">
        <f t="shared" si="335"/>
        <v>0</v>
      </c>
      <c r="AB79" s="877">
        <f t="shared" si="335"/>
        <v>0</v>
      </c>
      <c r="AC79" s="878">
        <f t="shared" si="335"/>
        <v>0</v>
      </c>
      <c r="AD79" s="877">
        <f t="shared" si="335"/>
        <v>0</v>
      </c>
      <c r="AE79" s="877">
        <f t="shared" si="335"/>
        <v>0</v>
      </c>
      <c r="AF79" s="877">
        <f t="shared" si="335"/>
        <v>0</v>
      </c>
      <c r="AG79" s="877">
        <f t="shared" si="335"/>
        <v>0</v>
      </c>
      <c r="AH79" s="877">
        <f t="shared" si="335"/>
        <v>0</v>
      </c>
      <c r="AI79" s="877">
        <f t="shared" si="335"/>
        <v>0</v>
      </c>
      <c r="AJ79" s="877">
        <f t="shared" si="335"/>
        <v>0</v>
      </c>
      <c r="AK79" s="877">
        <f t="shared" si="335"/>
        <v>0</v>
      </c>
      <c r="AL79" s="877">
        <f t="shared" si="335"/>
        <v>0</v>
      </c>
      <c r="AM79" s="877">
        <f t="shared" si="335"/>
        <v>0</v>
      </c>
      <c r="AN79" s="877">
        <f t="shared" si="335"/>
        <v>0</v>
      </c>
      <c r="AO79" s="877">
        <f t="shared" si="335"/>
        <v>0</v>
      </c>
      <c r="AP79" s="879">
        <f t="shared" si="335"/>
        <v>0</v>
      </c>
      <c r="AQ79" s="880">
        <f t="shared" si="335"/>
        <v>0</v>
      </c>
      <c r="AR79" s="881">
        <f t="shared" si="335"/>
        <v>0</v>
      </c>
      <c r="AS79" s="879">
        <f t="shared" si="335"/>
        <v>0</v>
      </c>
      <c r="AT79" s="880">
        <f t="shared" si="335"/>
        <v>0</v>
      </c>
      <c r="AU79" s="882">
        <f t="shared" si="335"/>
        <v>0</v>
      </c>
      <c r="AV79" s="883">
        <f t="shared" si="335"/>
        <v>0</v>
      </c>
      <c r="AW79" s="880">
        <f t="shared" si="335"/>
        <v>0</v>
      </c>
      <c r="AX79" s="882">
        <f t="shared" si="335"/>
        <v>0</v>
      </c>
      <c r="AY79" s="883">
        <f t="shared" si="335"/>
        <v>0</v>
      </c>
      <c r="AZ79" s="880">
        <f t="shared" si="335"/>
        <v>0</v>
      </c>
      <c r="BA79" s="882">
        <f t="shared" si="335"/>
        <v>0</v>
      </c>
      <c r="BB79" s="883">
        <f t="shared" si="335"/>
        <v>0</v>
      </c>
      <c r="BC79" s="880">
        <f t="shared" si="335"/>
        <v>0</v>
      </c>
      <c r="BD79" s="881">
        <f t="shared" si="335"/>
        <v>0</v>
      </c>
      <c r="BE79" s="879">
        <f t="shared" si="335"/>
        <v>0</v>
      </c>
      <c r="BF79" s="880">
        <f t="shared" si="335"/>
        <v>0</v>
      </c>
      <c r="BG79" s="882">
        <f t="shared" si="335"/>
        <v>0</v>
      </c>
      <c r="BH79" s="883">
        <f t="shared" si="335"/>
        <v>0</v>
      </c>
      <c r="BI79" s="880">
        <f t="shared" si="335"/>
        <v>0</v>
      </c>
      <c r="BJ79" s="882">
        <f t="shared" si="335"/>
        <v>0</v>
      </c>
      <c r="BK79" s="883">
        <f t="shared" si="335"/>
        <v>0</v>
      </c>
      <c r="BL79" s="880">
        <f t="shared" si="335"/>
        <v>0</v>
      </c>
      <c r="BM79" s="882">
        <f t="shared" si="335"/>
        <v>0</v>
      </c>
      <c r="BN79" s="883">
        <f t="shared" si="335"/>
        <v>0</v>
      </c>
      <c r="BO79" s="880">
        <f t="shared" si="335"/>
        <v>0</v>
      </c>
      <c r="BP79" s="881">
        <f t="shared" ref="BP79:CK79" si="336">BP28</f>
        <v>0</v>
      </c>
      <c r="BQ79" s="879">
        <f t="shared" si="336"/>
        <v>0</v>
      </c>
      <c r="BR79" s="880">
        <f t="shared" si="336"/>
        <v>0</v>
      </c>
      <c r="BS79" s="882">
        <f t="shared" si="336"/>
        <v>0</v>
      </c>
      <c r="BT79" s="883">
        <f t="shared" si="336"/>
        <v>0</v>
      </c>
      <c r="BU79" s="880">
        <f t="shared" si="336"/>
        <v>0</v>
      </c>
      <c r="BV79" s="882">
        <f t="shared" si="336"/>
        <v>0</v>
      </c>
      <c r="BW79" s="883">
        <f t="shared" si="336"/>
        <v>0</v>
      </c>
      <c r="BX79" s="880">
        <f t="shared" si="336"/>
        <v>0</v>
      </c>
      <c r="BY79" s="882">
        <f t="shared" si="336"/>
        <v>0</v>
      </c>
      <c r="BZ79" s="883">
        <f t="shared" si="336"/>
        <v>20700.788656000001</v>
      </c>
      <c r="CA79" s="880">
        <f t="shared" si="336"/>
        <v>0</v>
      </c>
      <c r="CB79" s="881">
        <f t="shared" si="336"/>
        <v>0</v>
      </c>
      <c r="CC79" s="879">
        <f>CC28</f>
        <v>26550.251</v>
      </c>
      <c r="CD79" s="880">
        <f t="shared" si="336"/>
        <v>0.28257195613194996</v>
      </c>
      <c r="CE79" s="882">
        <f t="shared" si="336"/>
        <v>0</v>
      </c>
      <c r="CF79" s="879">
        <f t="shared" si="336"/>
        <v>9778.3331240000007</v>
      </c>
      <c r="CG79" s="880">
        <f t="shared" si="336"/>
        <v>-0.63170468241524347</v>
      </c>
      <c r="CH79" s="882">
        <f t="shared" si="336"/>
        <v>0</v>
      </c>
      <c r="CI79" s="879">
        <f t="shared" si="336"/>
        <v>11034.160042</v>
      </c>
      <c r="CJ79" s="880">
        <f t="shared" si="336"/>
        <v>0.12842954950242902</v>
      </c>
      <c r="CK79" s="882">
        <f t="shared" si="336"/>
        <v>0</v>
      </c>
      <c r="CL79" s="883"/>
      <c r="CM79" s="880"/>
      <c r="CN79" s="881"/>
    </row>
    <row r="80" spans="1:93" ht="16.2" customHeight="1" x14ac:dyDescent="0.4">
      <c r="C80" s="799" t="s">
        <v>466</v>
      </c>
      <c r="D80" s="798" t="s">
        <v>420</v>
      </c>
      <c r="E80" s="337"/>
      <c r="F80" s="337"/>
      <c r="G80" s="337"/>
      <c r="H80" s="147"/>
      <c r="I80" s="147"/>
      <c r="K80" s="147"/>
      <c r="L80" s="147"/>
      <c r="N80" s="147"/>
      <c r="O80" s="147"/>
      <c r="Q80" s="147"/>
      <c r="R80" s="147"/>
      <c r="T80" s="147"/>
      <c r="U80" s="147"/>
      <c r="W80" s="147"/>
      <c r="X80" s="147"/>
      <c r="Z80" s="147"/>
      <c r="AA80" s="147"/>
      <c r="AC80" s="147"/>
      <c r="AD80" s="337"/>
      <c r="AG80" s="337"/>
      <c r="AJ80" s="337"/>
      <c r="AM80" s="337"/>
      <c r="AP80" s="808"/>
      <c r="AQ80" s="349"/>
      <c r="AR80" s="800"/>
      <c r="AS80" s="808"/>
      <c r="AT80" s="349"/>
      <c r="AU80" s="350"/>
      <c r="AV80" s="618"/>
      <c r="AW80" s="349"/>
      <c r="AX80" s="350"/>
      <c r="AY80" s="618"/>
      <c r="AZ80" s="349"/>
      <c r="BA80" s="350"/>
      <c r="BB80" s="618"/>
      <c r="BC80" s="349"/>
      <c r="BD80" s="800"/>
      <c r="BE80" s="808"/>
      <c r="BF80" s="349"/>
      <c r="BG80" s="350"/>
      <c r="BH80" s="618"/>
      <c r="BI80" s="349"/>
      <c r="BJ80" s="350"/>
      <c r="BK80" s="618"/>
      <c r="BL80" s="349"/>
      <c r="BM80" s="350"/>
      <c r="BN80" s="618"/>
      <c r="BO80" s="349"/>
      <c r="BP80" s="800"/>
      <c r="BQ80" s="808"/>
      <c r="BR80" s="349"/>
      <c r="BS80" s="350"/>
      <c r="BT80" s="618"/>
      <c r="BU80" s="349"/>
      <c r="BV80" s="350"/>
      <c r="BX80" s="349"/>
      <c r="BY80" s="350"/>
      <c r="BZ80" s="618">
        <v>13102.477000000001</v>
      </c>
      <c r="CA80" s="349">
        <f t="shared" ref="CA80:CA84" si="337">IFERROR(BZ80/BW80-1,0)</f>
        <v>0</v>
      </c>
      <c r="CB80" s="800">
        <f t="shared" ref="CB80:CB84" si="338">IFERROR(BZ80/BN80-1,)</f>
        <v>0</v>
      </c>
      <c r="CC80" s="808">
        <v>4946.942</v>
      </c>
      <c r="CD80" s="349">
        <f t="shared" ref="CD80:CD84" si="339">IFERROR(CC80/BZ80-1,0)</f>
        <v>-0.6224422298165454</v>
      </c>
      <c r="CE80" s="350">
        <f t="shared" ref="CE80:CE84" si="340">IFERROR(CC80/BQ80-1,)</f>
        <v>0</v>
      </c>
      <c r="CF80" s="808">
        <v>4674</v>
      </c>
      <c r="CG80" s="349">
        <f t="shared" ref="CG80:CG84" si="341">IFERROR(CF80/CC80-1,0)</f>
        <v>-5.5173883178739502E-2</v>
      </c>
      <c r="CH80" s="350">
        <f t="shared" ref="CH80:CH84" si="342">IFERROR(CF80/BT80-1,)</f>
        <v>0</v>
      </c>
      <c r="CI80" s="808">
        <v>4709.9459999999999</v>
      </c>
      <c r="CJ80" s="349">
        <f t="shared" ref="CJ80:CJ84" si="343">IFERROR(CI80/CF80-1,0)</f>
        <v>7.6906290115532627E-3</v>
      </c>
      <c r="CK80" s="350">
        <f t="shared" ref="CK80:CK84" si="344">IFERROR(CI80/BW80-1,)</f>
        <v>0</v>
      </c>
      <c r="CL80" s="618"/>
      <c r="CM80" s="349"/>
      <c r="CN80" s="800"/>
    </row>
    <row r="81" spans="1:93" ht="16.2" customHeight="1" x14ac:dyDescent="0.4">
      <c r="C81" s="799" t="s">
        <v>465</v>
      </c>
      <c r="D81" s="798" t="s">
        <v>482</v>
      </c>
      <c r="E81" s="337"/>
      <c r="F81" s="337"/>
      <c r="G81" s="337"/>
      <c r="H81" s="147"/>
      <c r="I81" s="147"/>
      <c r="K81" s="147"/>
      <c r="L81" s="147"/>
      <c r="N81" s="147"/>
      <c r="O81" s="147"/>
      <c r="Q81" s="147"/>
      <c r="R81" s="147"/>
      <c r="T81" s="147"/>
      <c r="U81" s="147"/>
      <c r="W81" s="147"/>
      <c r="X81" s="147"/>
      <c r="Z81" s="147"/>
      <c r="AA81" s="147"/>
      <c r="AC81" s="147"/>
      <c r="AD81" s="337"/>
      <c r="AG81" s="337"/>
      <c r="AJ81" s="337"/>
      <c r="AM81" s="337"/>
      <c r="AP81" s="808"/>
      <c r="AQ81" s="349"/>
      <c r="AR81" s="800"/>
      <c r="AS81" s="808"/>
      <c r="AT81" s="349"/>
      <c r="AU81" s="350"/>
      <c r="AV81" s="618"/>
      <c r="AW81" s="349"/>
      <c r="AX81" s="350"/>
      <c r="AY81" s="618"/>
      <c r="AZ81" s="349"/>
      <c r="BA81" s="350"/>
      <c r="BB81" s="618"/>
      <c r="BC81" s="349"/>
      <c r="BD81" s="800"/>
      <c r="BE81" s="808"/>
      <c r="BF81" s="349"/>
      <c r="BG81" s="350"/>
      <c r="BH81" s="618"/>
      <c r="BI81" s="349"/>
      <c r="BJ81" s="350"/>
      <c r="BK81" s="618"/>
      <c r="BL81" s="349"/>
      <c r="BM81" s="350"/>
      <c r="BN81" s="618"/>
      <c r="BO81" s="349"/>
      <c r="BP81" s="800"/>
      <c r="BQ81" s="808"/>
      <c r="BR81" s="349"/>
      <c r="BS81" s="350"/>
      <c r="BT81" s="618"/>
      <c r="BU81" s="349"/>
      <c r="BV81" s="350"/>
      <c r="BX81" s="349"/>
      <c r="BY81" s="350"/>
      <c r="BZ81" s="618">
        <v>7063.7960000000003</v>
      </c>
      <c r="CA81" s="349">
        <f t="shared" si="337"/>
        <v>0</v>
      </c>
      <c r="CB81" s="800">
        <f t="shared" si="338"/>
        <v>0</v>
      </c>
      <c r="CC81" s="808">
        <v>4397.3829999999998</v>
      </c>
      <c r="CD81" s="349">
        <f t="shared" si="339"/>
        <v>-0.37747593503549659</v>
      </c>
      <c r="CE81" s="350">
        <f t="shared" si="340"/>
        <v>0</v>
      </c>
      <c r="CF81" s="808">
        <v>4569</v>
      </c>
      <c r="CG81" s="349">
        <f t="shared" si="341"/>
        <v>3.9027075876720385E-2</v>
      </c>
      <c r="CH81" s="350">
        <f t="shared" si="342"/>
        <v>0</v>
      </c>
      <c r="CI81" s="808">
        <v>5789.7089999999998</v>
      </c>
      <c r="CJ81" s="349">
        <f t="shared" si="343"/>
        <v>0.26717202889034786</v>
      </c>
      <c r="CK81" s="350">
        <f t="shared" si="344"/>
        <v>0</v>
      </c>
      <c r="CL81" s="618"/>
      <c r="CM81" s="349"/>
      <c r="CN81" s="800"/>
    </row>
    <row r="82" spans="1:93" ht="16.2" customHeight="1" x14ac:dyDescent="0.4">
      <c r="C82" s="799" t="s">
        <v>467</v>
      </c>
      <c r="D82" s="798" t="s">
        <v>483</v>
      </c>
      <c r="E82" s="337"/>
      <c r="F82" s="337"/>
      <c r="G82" s="337"/>
      <c r="H82" s="147"/>
      <c r="I82" s="147"/>
      <c r="K82" s="147"/>
      <c r="L82" s="147"/>
      <c r="N82" s="147"/>
      <c r="O82" s="147"/>
      <c r="Q82" s="147"/>
      <c r="R82" s="147"/>
      <c r="T82" s="147"/>
      <c r="U82" s="147"/>
      <c r="W82" s="147"/>
      <c r="X82" s="147"/>
      <c r="Z82" s="147"/>
      <c r="AA82" s="147"/>
      <c r="AC82" s="147"/>
      <c r="AD82" s="337"/>
      <c r="AG82" s="337"/>
      <c r="AJ82" s="337"/>
      <c r="AM82" s="337"/>
      <c r="AP82" s="808"/>
      <c r="AQ82" s="349"/>
      <c r="AR82" s="800"/>
      <c r="AS82" s="808"/>
      <c r="AT82" s="349"/>
      <c r="AU82" s="350"/>
      <c r="AV82" s="618"/>
      <c r="AW82" s="349"/>
      <c r="AX82" s="350"/>
      <c r="AY82" s="618"/>
      <c r="AZ82" s="349"/>
      <c r="BA82" s="350"/>
      <c r="BB82" s="618"/>
      <c r="BC82" s="349"/>
      <c r="BD82" s="800"/>
      <c r="BE82" s="808"/>
      <c r="BF82" s="349"/>
      <c r="BG82" s="350"/>
      <c r="BH82" s="618"/>
      <c r="BI82" s="349"/>
      <c r="BJ82" s="350"/>
      <c r="BK82" s="618"/>
      <c r="BL82" s="349"/>
      <c r="BM82" s="350"/>
      <c r="BN82" s="618"/>
      <c r="BO82" s="349"/>
      <c r="BP82" s="800"/>
      <c r="BQ82" s="808"/>
      <c r="BR82" s="349"/>
      <c r="BS82" s="350"/>
      <c r="BT82" s="618"/>
      <c r="BU82" s="349"/>
      <c r="BV82" s="350"/>
      <c r="BX82" s="349"/>
      <c r="BY82" s="350"/>
      <c r="BZ82" s="618">
        <v>534.50400000000002</v>
      </c>
      <c r="CA82" s="349">
        <f t="shared" si="337"/>
        <v>0</v>
      </c>
      <c r="CB82" s="800">
        <f t="shared" si="338"/>
        <v>0</v>
      </c>
      <c r="CC82" s="808">
        <v>372.08300000000003</v>
      </c>
      <c r="CD82" s="349">
        <f t="shared" si="339"/>
        <v>-0.30387237513657517</v>
      </c>
      <c r="CE82" s="350">
        <f t="shared" si="340"/>
        <v>0</v>
      </c>
      <c r="CF82" s="808">
        <v>535</v>
      </c>
      <c r="CG82" s="349">
        <f t="shared" si="341"/>
        <v>0.43785123211756516</v>
      </c>
      <c r="CH82" s="350">
        <f t="shared" si="342"/>
        <v>0</v>
      </c>
      <c r="CI82" s="808">
        <v>534.505</v>
      </c>
      <c r="CJ82" s="349">
        <f t="shared" si="343"/>
        <v>-9.2523364485985748E-4</v>
      </c>
      <c r="CK82" s="350">
        <f t="shared" si="344"/>
        <v>0</v>
      </c>
      <c r="CL82" s="618"/>
      <c r="CM82" s="349"/>
      <c r="CN82" s="800"/>
    </row>
    <row r="83" spans="1:93" ht="16.2" customHeight="1" x14ac:dyDescent="0.4">
      <c r="C83" s="799" t="s">
        <v>489</v>
      </c>
      <c r="D83" s="798" t="s">
        <v>490</v>
      </c>
      <c r="E83" s="337"/>
      <c r="F83" s="337"/>
      <c r="G83" s="337"/>
      <c r="H83" s="147"/>
      <c r="I83" s="147"/>
      <c r="K83" s="147"/>
      <c r="L83" s="147"/>
      <c r="N83" s="147"/>
      <c r="O83" s="147"/>
      <c r="Q83" s="147"/>
      <c r="R83" s="147"/>
      <c r="T83" s="147"/>
      <c r="U83" s="147"/>
      <c r="W83" s="147"/>
      <c r="X83" s="147"/>
      <c r="Z83" s="147"/>
      <c r="AA83" s="147"/>
      <c r="AC83" s="147"/>
      <c r="AD83" s="337"/>
      <c r="AG83" s="337"/>
      <c r="AJ83" s="337"/>
      <c r="AM83" s="337"/>
      <c r="AP83" s="808"/>
      <c r="AQ83" s="349"/>
      <c r="AR83" s="800"/>
      <c r="AS83" s="808"/>
      <c r="AT83" s="349"/>
      <c r="AU83" s="350"/>
      <c r="AV83" s="618"/>
      <c r="AW83" s="349"/>
      <c r="AX83" s="350"/>
      <c r="AY83" s="618"/>
      <c r="AZ83" s="349"/>
      <c r="BA83" s="350"/>
      <c r="BB83" s="618"/>
      <c r="BC83" s="349"/>
      <c r="BD83" s="800"/>
      <c r="BE83" s="808"/>
      <c r="BF83" s="349"/>
      <c r="BG83" s="350"/>
      <c r="BH83" s="618"/>
      <c r="BI83" s="349"/>
      <c r="BJ83" s="350"/>
      <c r="BK83" s="618"/>
      <c r="BL83" s="349"/>
      <c r="BM83" s="350"/>
      <c r="BN83" s="618"/>
      <c r="BO83" s="349"/>
      <c r="BP83" s="800"/>
      <c r="BQ83" s="808"/>
      <c r="BR83" s="349"/>
      <c r="BS83" s="350"/>
      <c r="BT83" s="618"/>
      <c r="BU83" s="349"/>
      <c r="BV83" s="350"/>
      <c r="BX83" s="349"/>
      <c r="BY83" s="350"/>
      <c r="BZ83" s="618">
        <v>0</v>
      </c>
      <c r="CA83" s="349">
        <f t="shared" si="337"/>
        <v>0</v>
      </c>
      <c r="CB83" s="800">
        <f t="shared" si="338"/>
        <v>0</v>
      </c>
      <c r="CC83" s="808">
        <v>16833.43</v>
      </c>
      <c r="CD83" s="349">
        <f t="shared" si="339"/>
        <v>0</v>
      </c>
      <c r="CE83" s="350">
        <f t="shared" si="340"/>
        <v>0</v>
      </c>
      <c r="CF83" s="808">
        <v>0</v>
      </c>
      <c r="CG83" s="349">
        <f t="shared" si="341"/>
        <v>-1</v>
      </c>
      <c r="CH83" s="350">
        <f t="shared" si="342"/>
        <v>0</v>
      </c>
      <c r="CI83" s="808">
        <v>0</v>
      </c>
      <c r="CJ83" s="349">
        <f t="shared" si="343"/>
        <v>0</v>
      </c>
      <c r="CK83" s="350">
        <f t="shared" si="344"/>
        <v>0</v>
      </c>
      <c r="CL83" s="618"/>
      <c r="CM83" s="349"/>
      <c r="CN83" s="800"/>
    </row>
    <row r="84" spans="1:93" s="38" customFormat="1" ht="16.2" customHeight="1" x14ac:dyDescent="0.4">
      <c r="A84" s="156"/>
      <c r="B84" s="39"/>
      <c r="C84" s="803"/>
      <c r="D84" s="804"/>
      <c r="E84" s="337"/>
      <c r="F84" s="337"/>
      <c r="G84" s="337"/>
      <c r="H84" s="147"/>
      <c r="I84" s="147"/>
      <c r="J84" s="337"/>
      <c r="K84" s="147"/>
      <c r="L84" s="147"/>
      <c r="M84" s="337"/>
      <c r="N84" s="147"/>
      <c r="O84" s="147"/>
      <c r="P84" s="337"/>
      <c r="Q84" s="147"/>
      <c r="R84" s="147"/>
      <c r="S84" s="337"/>
      <c r="T84" s="147"/>
      <c r="U84" s="147"/>
      <c r="V84" s="337"/>
      <c r="W84" s="147"/>
      <c r="X84" s="147"/>
      <c r="Y84" s="337"/>
      <c r="Z84" s="147"/>
      <c r="AA84" s="147"/>
      <c r="AB84" s="337"/>
      <c r="AC84" s="147"/>
      <c r="AD84" s="337"/>
      <c r="AE84" s="337"/>
      <c r="AF84" s="337"/>
      <c r="AG84" s="337"/>
      <c r="AH84" s="337"/>
      <c r="AI84" s="337"/>
      <c r="AJ84" s="337"/>
      <c r="AK84" s="337"/>
      <c r="AL84" s="337"/>
      <c r="AM84" s="337"/>
      <c r="AN84" s="337"/>
      <c r="AO84" s="337"/>
      <c r="AP84" s="809"/>
      <c r="AQ84" s="810"/>
      <c r="AR84" s="811"/>
      <c r="AS84" s="809"/>
      <c r="AT84" s="810"/>
      <c r="AU84" s="814"/>
      <c r="AV84" s="815"/>
      <c r="AW84" s="810"/>
      <c r="AX84" s="814"/>
      <c r="AY84" s="815"/>
      <c r="AZ84" s="810"/>
      <c r="BA84" s="814"/>
      <c r="BB84" s="815"/>
      <c r="BC84" s="810"/>
      <c r="BD84" s="811"/>
      <c r="BE84" s="809"/>
      <c r="BF84" s="810"/>
      <c r="BG84" s="814"/>
      <c r="BH84" s="815"/>
      <c r="BI84" s="810"/>
      <c r="BJ84" s="814"/>
      <c r="BK84" s="815"/>
      <c r="BL84" s="810"/>
      <c r="BM84" s="814"/>
      <c r="BN84" s="815"/>
      <c r="BO84" s="810"/>
      <c r="BP84" s="811"/>
      <c r="BQ84" s="809">
        <f>SUM(BQ80:BQ82)</f>
        <v>0</v>
      </c>
      <c r="BR84" s="810"/>
      <c r="BS84" s="814"/>
      <c r="BT84" s="815">
        <f>SUM(BT80:BT82)</f>
        <v>0</v>
      </c>
      <c r="BU84" s="810"/>
      <c r="BV84" s="814"/>
      <c r="BW84" s="815">
        <f>SUM(BW80:BW82)</f>
        <v>0</v>
      </c>
      <c r="BX84" s="810"/>
      <c r="BY84" s="814"/>
      <c r="BZ84" s="815">
        <f>SUM(BZ80:BZ83)</f>
        <v>20700.777000000002</v>
      </c>
      <c r="CA84" s="810">
        <f t="shared" si="337"/>
        <v>0</v>
      </c>
      <c r="CB84" s="811">
        <f t="shared" si="338"/>
        <v>0</v>
      </c>
      <c r="CC84" s="809">
        <f>SUM(CC80:CC83)</f>
        <v>26549.838000000003</v>
      </c>
      <c r="CD84" s="810">
        <f t="shared" si="339"/>
        <v>0.28255272736863946</v>
      </c>
      <c r="CE84" s="814">
        <f t="shared" si="340"/>
        <v>0</v>
      </c>
      <c r="CF84" s="809">
        <f>SUM(CF80:CF83)</f>
        <v>9778</v>
      </c>
      <c r="CG84" s="810">
        <f t="shared" si="341"/>
        <v>-0.63171150046188607</v>
      </c>
      <c r="CH84" s="814">
        <f t="shared" si="342"/>
        <v>0</v>
      </c>
      <c r="CI84" s="809">
        <f>SUM(CI80:CI83)</f>
        <v>11034.159999999998</v>
      </c>
      <c r="CJ84" s="810">
        <f t="shared" si="343"/>
        <v>0.12846798936387782</v>
      </c>
      <c r="CK84" s="814">
        <f t="shared" si="344"/>
        <v>0</v>
      </c>
      <c r="CL84" s="815"/>
      <c r="CM84" s="810"/>
      <c r="CN84" s="811"/>
      <c r="CO84" s="816"/>
    </row>
    <row r="85" spans="1:93" ht="16.2" customHeight="1" x14ac:dyDescent="0.4">
      <c r="E85" s="337"/>
      <c r="F85" s="337"/>
      <c r="G85" s="337"/>
      <c r="H85" s="337"/>
      <c r="I85" s="337"/>
      <c r="L85" s="337"/>
      <c r="O85" s="337"/>
      <c r="U85" s="337"/>
      <c r="X85" s="337"/>
      <c r="AA85" s="337"/>
      <c r="AG85" s="337"/>
      <c r="AJ85" s="337"/>
      <c r="AM85" s="337"/>
      <c r="AS85" s="337"/>
      <c r="AV85" s="337"/>
      <c r="AY85" s="337"/>
      <c r="BE85" s="337"/>
      <c r="BH85" s="337"/>
      <c r="BK85" s="337"/>
      <c r="BN85" s="337"/>
      <c r="BQ85" s="337" t="b">
        <f>ROUND(BQ84,0)=ROUND(BQ79,)</f>
        <v>1</v>
      </c>
      <c r="BT85" s="337" t="b">
        <f>ROUND(BT84,0)=ROUND(BT79,)</f>
        <v>1</v>
      </c>
      <c r="BW85" s="337" t="b">
        <f>ROUND(BW84,0)=ROUND(BW79,)</f>
        <v>1</v>
      </c>
      <c r="BZ85" s="337" t="b">
        <f>ROUND(BZ84,0)=ROUND(BZ79,)</f>
        <v>1</v>
      </c>
      <c r="CC85" s="337" t="b">
        <f>ROUND(CC84,0)=ROUND(CC79,)</f>
        <v>1</v>
      </c>
      <c r="CF85" s="337" t="b">
        <f>ROUND(CF84,0)=ROUND(CF79,)</f>
        <v>1</v>
      </c>
      <c r="CI85" s="337" t="b">
        <f>ROUND(CI84,0)=ROUND(CI79,)</f>
        <v>1</v>
      </c>
      <c r="CL85" s="337"/>
    </row>
    <row r="86" spans="1:93" s="6" customFormat="1" ht="16.2" customHeight="1" x14ac:dyDescent="0.4">
      <c r="A86" s="156"/>
      <c r="B86" s="875"/>
      <c r="C86" s="874" t="s">
        <v>155</v>
      </c>
      <c r="D86" s="876" t="str">
        <f>D47</f>
        <v>Capital Adjustments</v>
      </c>
      <c r="E86" s="877">
        <f t="shared" ref="E86:BP86" si="345">E47</f>
        <v>137.363878</v>
      </c>
      <c r="F86" s="877">
        <f t="shared" si="345"/>
        <v>165.41250400000001</v>
      </c>
      <c r="G86" s="877">
        <f t="shared" si="345"/>
        <v>193.46113</v>
      </c>
      <c r="H86" s="878">
        <f t="shared" si="345"/>
        <v>213.68881300000001</v>
      </c>
      <c r="I86" s="878">
        <f t="shared" si="345"/>
        <v>218.27461099999999</v>
      </c>
      <c r="J86" s="877">
        <f t="shared" si="345"/>
        <v>2.1460168810989666E-2</v>
      </c>
      <c r="K86" s="878">
        <f t="shared" si="345"/>
        <v>0.58902481626210346</v>
      </c>
      <c r="L86" s="878">
        <f t="shared" si="345"/>
        <v>222.860409</v>
      </c>
      <c r="M86" s="877">
        <f t="shared" si="345"/>
        <v>2.1009305566921821E-2</v>
      </c>
      <c r="N86" s="878">
        <f t="shared" si="345"/>
        <v>0.34730086064110366</v>
      </c>
      <c r="O86" s="878">
        <f t="shared" si="345"/>
        <v>155.795863</v>
      </c>
      <c r="P86" s="877">
        <f t="shared" si="345"/>
        <v>-0.30092624482260555</v>
      </c>
      <c r="Q86" s="878">
        <f t="shared" si="345"/>
        <v>-0.19469165201299088</v>
      </c>
      <c r="R86" s="878">
        <f t="shared" si="345"/>
        <v>33.000321</v>
      </c>
      <c r="S86" s="877">
        <f t="shared" si="345"/>
        <v>-0.78818230237602649</v>
      </c>
      <c r="T86" s="878">
        <f t="shared" si="345"/>
        <v>-0.84556832649915092</v>
      </c>
      <c r="U86" s="878">
        <f t="shared" si="345"/>
        <v>5.4051049999999998</v>
      </c>
      <c r="V86" s="877">
        <f t="shared" si="345"/>
        <v>-0.83621053261875844</v>
      </c>
      <c r="W86" s="878">
        <f t="shared" si="345"/>
        <v>-0.97523713374067134</v>
      </c>
      <c r="X86" s="878">
        <f t="shared" si="345"/>
        <v>5.4051049999999998</v>
      </c>
      <c r="Y86" s="877">
        <f t="shared" si="345"/>
        <v>0</v>
      </c>
      <c r="Z86" s="878">
        <f t="shared" si="345"/>
        <v>-0.97574667916902191</v>
      </c>
      <c r="AA86" s="878">
        <f t="shared" si="345"/>
        <v>5.4051049999999998</v>
      </c>
      <c r="AB86" s="877">
        <f t="shared" si="345"/>
        <v>0</v>
      </c>
      <c r="AC86" s="878">
        <f t="shared" si="345"/>
        <v>-0.96530649212424846</v>
      </c>
      <c r="AD86" s="877">
        <f t="shared" si="345"/>
        <v>5.4051049999999998</v>
      </c>
      <c r="AE86" s="877">
        <f t="shared" si="345"/>
        <v>0</v>
      </c>
      <c r="AF86" s="877">
        <f t="shared" si="345"/>
        <v>-0.83621053261875844</v>
      </c>
      <c r="AG86" s="877">
        <f t="shared" si="345"/>
        <v>4.7891529999999998</v>
      </c>
      <c r="AH86" s="877">
        <f t="shared" si="345"/>
        <v>-0.1139574531854608</v>
      </c>
      <c r="AI86" s="877">
        <f t="shared" si="345"/>
        <v>-0.1139574531854608</v>
      </c>
      <c r="AJ86" s="877">
        <f t="shared" si="345"/>
        <v>4.7891529999999998</v>
      </c>
      <c r="AK86" s="877">
        <f t="shared" si="345"/>
        <v>0</v>
      </c>
      <c r="AL86" s="877">
        <f t="shared" si="345"/>
        <v>-0.1139574531854608</v>
      </c>
      <c r="AM86" s="877">
        <f t="shared" si="345"/>
        <v>4.7891529999999998</v>
      </c>
      <c r="AN86" s="877">
        <f t="shared" si="345"/>
        <v>0</v>
      </c>
      <c r="AO86" s="877">
        <f t="shared" si="345"/>
        <v>-0.1139574531854608</v>
      </c>
      <c r="AP86" s="879">
        <f t="shared" si="345"/>
        <v>4.7891529999999998</v>
      </c>
      <c r="AQ86" s="880">
        <f t="shared" si="345"/>
        <v>0</v>
      </c>
      <c r="AR86" s="881">
        <f t="shared" si="345"/>
        <v>-0.1139574531854608</v>
      </c>
      <c r="AS86" s="879">
        <f t="shared" si="345"/>
        <v>0</v>
      </c>
      <c r="AT86" s="880">
        <f t="shared" si="345"/>
        <v>-1</v>
      </c>
      <c r="AU86" s="882">
        <f t="shared" si="345"/>
        <v>-1</v>
      </c>
      <c r="AV86" s="883">
        <f t="shared" si="345"/>
        <v>0</v>
      </c>
      <c r="AW86" s="880">
        <f t="shared" si="345"/>
        <v>0</v>
      </c>
      <c r="AX86" s="882">
        <f t="shared" si="345"/>
        <v>-1</v>
      </c>
      <c r="AY86" s="883">
        <f t="shared" si="345"/>
        <v>-3255.1378</v>
      </c>
      <c r="AZ86" s="880">
        <f t="shared" si="345"/>
        <v>0</v>
      </c>
      <c r="BA86" s="882">
        <f t="shared" si="345"/>
        <v>-680.68966537506742</v>
      </c>
      <c r="BB86" s="883">
        <f t="shared" si="345"/>
        <v>-5421.9760999999999</v>
      </c>
      <c r="BC86" s="880">
        <f t="shared" si="345"/>
        <v>0.66566714932928495</v>
      </c>
      <c r="BD86" s="881">
        <f t="shared" si="345"/>
        <v>-1133.1367473538642</v>
      </c>
      <c r="BE86" s="879">
        <f t="shared" si="345"/>
        <v>-5410.8888230000002</v>
      </c>
      <c r="BF86" s="880">
        <f t="shared" si="345"/>
        <v>-2.0448775124626284E-3</v>
      </c>
      <c r="BG86" s="882">
        <f t="shared" si="345"/>
        <v>0</v>
      </c>
      <c r="BH86" s="883">
        <f t="shared" si="345"/>
        <v>-4888.8070379999999</v>
      </c>
      <c r="BI86" s="880">
        <f t="shared" si="345"/>
        <v>-9.6487250445951411E-2</v>
      </c>
      <c r="BJ86" s="882">
        <f t="shared" si="345"/>
        <v>0</v>
      </c>
      <c r="BK86" s="883">
        <f t="shared" si="345"/>
        <v>-14908.716833</v>
      </c>
      <c r="BL86" s="880">
        <f t="shared" si="345"/>
        <v>2.0495613177441183</v>
      </c>
      <c r="BM86" s="882">
        <f t="shared" si="345"/>
        <v>3.5800570510409733</v>
      </c>
      <c r="BN86" s="883">
        <f t="shared" si="345"/>
        <v>-18253.885541</v>
      </c>
      <c r="BO86" s="880">
        <f t="shared" si="345"/>
        <v>0.22437670159483925</v>
      </c>
      <c r="BP86" s="881">
        <f t="shared" si="345"/>
        <v>2.3666481010493574</v>
      </c>
      <c r="BQ86" s="879">
        <f t="shared" ref="BQ86:CK86" si="346">BQ47</f>
        <v>2166.4939330000002</v>
      </c>
      <c r="BR86" s="880">
        <f t="shared" si="346"/>
        <v>-1.1186867271701604</v>
      </c>
      <c r="BS86" s="882">
        <f t="shared" si="346"/>
        <v>-1.4003952037955225</v>
      </c>
      <c r="BT86" s="883">
        <f t="shared" si="346"/>
        <v>3260.1293999999998</v>
      </c>
      <c r="BU86" s="880">
        <f t="shared" si="346"/>
        <v>0.50479507481731756</v>
      </c>
      <c r="BV86" s="882">
        <f t="shared" si="346"/>
        <v>-1.666855814651607</v>
      </c>
      <c r="BW86" s="883">
        <f>BW47</f>
        <v>3830.9977199999998</v>
      </c>
      <c r="BX86" s="880">
        <f t="shared" si="346"/>
        <v>0.17510603106735578</v>
      </c>
      <c r="BY86" s="882">
        <f t="shared" si="346"/>
        <v>-1.256963611484001</v>
      </c>
      <c r="BZ86" s="883">
        <f t="shared" si="346"/>
        <v>4814.6642250000004</v>
      </c>
      <c r="CA86" s="880">
        <f t="shared" si="346"/>
        <v>0.25676509799645619</v>
      </c>
      <c r="CB86" s="881">
        <f t="shared" si="346"/>
        <v>-1.2637610614017381</v>
      </c>
      <c r="CC86" s="879">
        <f t="shared" si="346"/>
        <v>6028</v>
      </c>
      <c r="CD86" s="880">
        <f t="shared" si="346"/>
        <v>0.25200838901699307</v>
      </c>
      <c r="CE86" s="882">
        <f t="shared" si="346"/>
        <v>1.7823756661311636</v>
      </c>
      <c r="CF86" s="879">
        <f>CF47</f>
        <v>7584.9667099999997</v>
      </c>
      <c r="CG86" s="880">
        <f t="shared" si="346"/>
        <v>0.25828910252156589</v>
      </c>
      <c r="CH86" s="882">
        <f t="shared" si="346"/>
        <v>0</v>
      </c>
      <c r="CI86" s="879">
        <f t="shared" si="346"/>
        <v>-1920.633503</v>
      </c>
      <c r="CJ86" s="880">
        <f t="shared" si="346"/>
        <v>-1.2532158118067733</v>
      </c>
      <c r="CK86" s="882">
        <f t="shared" si="346"/>
        <v>-0.4099686031724985</v>
      </c>
      <c r="CL86" s="883"/>
      <c r="CM86" s="880"/>
      <c r="CN86" s="881"/>
    </row>
    <row r="87" spans="1:93" ht="16.2" customHeight="1" x14ac:dyDescent="0.4">
      <c r="C87" s="799" t="s">
        <v>468</v>
      </c>
      <c r="D87" s="798" t="s">
        <v>484</v>
      </c>
      <c r="E87" s="337"/>
      <c r="F87" s="337"/>
      <c r="G87" s="337"/>
      <c r="H87" s="147"/>
      <c r="I87" s="147"/>
      <c r="K87" s="147"/>
      <c r="L87" s="147"/>
      <c r="N87" s="147"/>
      <c r="O87" s="147"/>
      <c r="Q87" s="147"/>
      <c r="R87" s="147"/>
      <c r="T87" s="147"/>
      <c r="U87" s="147"/>
      <c r="W87" s="147"/>
      <c r="X87" s="147"/>
      <c r="Z87" s="147"/>
      <c r="AA87" s="147"/>
      <c r="AC87" s="147"/>
      <c r="AD87" s="337"/>
      <c r="AG87" s="337"/>
      <c r="AJ87" s="337"/>
      <c r="AM87" s="337"/>
      <c r="AP87" s="808"/>
      <c r="AQ87" s="349"/>
      <c r="AR87" s="800"/>
      <c r="AS87" s="808"/>
      <c r="AT87" s="349"/>
      <c r="AU87" s="350"/>
      <c r="AV87" s="618"/>
      <c r="AW87" s="349"/>
      <c r="AX87" s="350"/>
      <c r="AY87" s="618"/>
      <c r="AZ87" s="349"/>
      <c r="BA87" s="350"/>
      <c r="BB87" s="618"/>
      <c r="BC87" s="349"/>
      <c r="BD87" s="800"/>
      <c r="BE87" s="808"/>
      <c r="BF87" s="349"/>
      <c r="BG87" s="350"/>
      <c r="BH87" s="618"/>
      <c r="BI87" s="349"/>
      <c r="BJ87" s="350"/>
      <c r="BK87" s="618"/>
      <c r="BL87" s="349"/>
      <c r="BM87" s="350"/>
      <c r="BN87" s="618"/>
      <c r="BO87" s="349"/>
      <c r="BP87" s="800"/>
      <c r="BQ87" s="808">
        <v>2166.4940000000001</v>
      </c>
      <c r="BR87" s="349"/>
      <c r="BS87" s="350"/>
      <c r="BT87" s="618">
        <v>3260.1289999999999</v>
      </c>
      <c r="BU87" s="349"/>
      <c r="BV87" s="350"/>
      <c r="BW87" s="618">
        <v>3830.998</v>
      </c>
      <c r="BX87" s="349"/>
      <c r="BY87" s="350"/>
      <c r="BZ87" s="618">
        <v>5054.7929999999997</v>
      </c>
      <c r="CA87" s="349">
        <f t="shared" ref="CA87:CA90" si="347">IFERROR(BZ87/BW87-1,0)</f>
        <v>0.31944548130800365</v>
      </c>
      <c r="CB87" s="800">
        <f t="shared" ref="CB87:CB90" si="348">IFERROR(BZ87/BN87-1,)</f>
        <v>0</v>
      </c>
      <c r="CC87" s="808">
        <v>6274.366</v>
      </c>
      <c r="CD87" s="349">
        <f t="shared" ref="CD87:CD90" si="349">IFERROR(CC87/BZ87-1,0)</f>
        <v>0.24127061187273147</v>
      </c>
      <c r="CE87" s="350">
        <f t="shared" ref="CE87:CE90" si="350">IFERROR(CC87/BQ87-1,)</f>
        <v>1.8960920270261536</v>
      </c>
      <c r="CF87" s="808">
        <v>8414.1</v>
      </c>
      <c r="CG87" s="349">
        <f t="shared" ref="CG87:CG90" si="351">IFERROR(CF87/CC87-1,0)</f>
        <v>0.3410279221836916</v>
      </c>
      <c r="CH87" s="350">
        <f t="shared" ref="CH87:CH90" si="352">IFERROR(CF87/BT87-1,)</f>
        <v>1.580910141899293</v>
      </c>
      <c r="CI87" s="808">
        <v>7677.8059999999996</v>
      </c>
      <c r="CJ87" s="349">
        <f t="shared" ref="CJ87:CJ90" si="353">IFERROR(CI87/CF87-1,0)</f>
        <v>-8.7507160599470057E-2</v>
      </c>
      <c r="CK87" s="350">
        <f t="shared" ref="CK87:CK90" si="354">IFERROR(CI87/BW87-1,)</f>
        <v>1.0041268619821779</v>
      </c>
      <c r="CL87" s="618"/>
      <c r="CM87" s="349"/>
      <c r="CN87" s="800"/>
    </row>
    <row r="88" spans="1:93" ht="16.2" customHeight="1" x14ac:dyDescent="0.4">
      <c r="C88" s="799" t="s">
        <v>469</v>
      </c>
      <c r="D88" s="798" t="s">
        <v>485</v>
      </c>
      <c r="E88" s="337"/>
      <c r="F88" s="337"/>
      <c r="G88" s="337"/>
      <c r="H88" s="147"/>
      <c r="I88" s="147"/>
      <c r="K88" s="147"/>
      <c r="L88" s="147"/>
      <c r="N88" s="147"/>
      <c r="O88" s="147"/>
      <c r="Q88" s="147"/>
      <c r="R88" s="147"/>
      <c r="T88" s="147"/>
      <c r="U88" s="147"/>
      <c r="W88" s="147"/>
      <c r="X88" s="147"/>
      <c r="Z88" s="147"/>
      <c r="AA88" s="147"/>
      <c r="AC88" s="147"/>
      <c r="AD88" s="337"/>
      <c r="AG88" s="337"/>
      <c r="AJ88" s="337"/>
      <c r="AM88" s="337"/>
      <c r="AP88" s="808"/>
      <c r="AQ88" s="349"/>
      <c r="AR88" s="800"/>
      <c r="AS88" s="808"/>
      <c r="AT88" s="349"/>
      <c r="AU88" s="350"/>
      <c r="AV88" s="618"/>
      <c r="AW88" s="349"/>
      <c r="AX88" s="350"/>
      <c r="AY88" s="618"/>
      <c r="AZ88" s="349"/>
      <c r="BA88" s="350"/>
      <c r="BB88" s="618"/>
      <c r="BC88" s="349"/>
      <c r="BD88" s="800"/>
      <c r="BE88" s="808"/>
      <c r="BF88" s="349"/>
      <c r="BG88" s="350"/>
      <c r="BH88" s="618"/>
      <c r="BI88" s="349"/>
      <c r="BJ88" s="350"/>
      <c r="BK88" s="618"/>
      <c r="BL88" s="349"/>
      <c r="BM88" s="350"/>
      <c r="BN88" s="618"/>
      <c r="BO88" s="349"/>
      <c r="BP88" s="800"/>
      <c r="BQ88" s="808">
        <v>-19999.985000000001</v>
      </c>
      <c r="BR88" s="349"/>
      <c r="BS88" s="350"/>
      <c r="BT88" s="618">
        <v>-19999.985000000001</v>
      </c>
      <c r="BU88" s="349"/>
      <c r="BV88" s="350"/>
      <c r="BW88" s="618">
        <v>-19999.985000000001</v>
      </c>
      <c r="BX88" s="349"/>
      <c r="BY88" s="350"/>
      <c r="BZ88" s="618">
        <v>-240.12899999999999</v>
      </c>
      <c r="CA88" s="349">
        <f t="shared" si="347"/>
        <v>-0.98799354099515579</v>
      </c>
      <c r="CB88" s="800">
        <f t="shared" si="348"/>
        <v>0</v>
      </c>
      <c r="CC88" s="808">
        <v>-246.72200000000001</v>
      </c>
      <c r="CD88" s="349">
        <f t="shared" si="349"/>
        <v>2.7456075692648518E-2</v>
      </c>
      <c r="CE88" s="350">
        <f t="shared" si="350"/>
        <v>-0.98766389074791805</v>
      </c>
      <c r="CF88" s="808">
        <v>-827.51499999999999</v>
      </c>
      <c r="CG88" s="349">
        <f t="shared" si="351"/>
        <v>2.3540381481991877</v>
      </c>
      <c r="CH88" s="350">
        <f t="shared" si="352"/>
        <v>-0.95862421896816419</v>
      </c>
      <c r="CI88" s="808">
        <v>-9596.8130000000001</v>
      </c>
      <c r="CJ88" s="349">
        <f t="shared" si="353"/>
        <v>10.597146879512758</v>
      </c>
      <c r="CK88" s="350">
        <f t="shared" si="354"/>
        <v>-0.5201589901192426</v>
      </c>
      <c r="CL88" s="618"/>
      <c r="CM88" s="349"/>
      <c r="CN88" s="800"/>
    </row>
    <row r="89" spans="1:93" ht="16.2" customHeight="1" x14ac:dyDescent="0.4">
      <c r="C89" s="799" t="s">
        <v>470</v>
      </c>
      <c r="D89" s="798" t="s">
        <v>486</v>
      </c>
      <c r="E89" s="337"/>
      <c r="F89" s="337"/>
      <c r="G89" s="337"/>
      <c r="H89" s="147"/>
      <c r="I89" s="147"/>
      <c r="K89" s="147"/>
      <c r="L89" s="147"/>
      <c r="N89" s="147"/>
      <c r="O89" s="147"/>
      <c r="Q89" s="147"/>
      <c r="R89" s="147"/>
      <c r="T89" s="147"/>
      <c r="U89" s="147"/>
      <c r="W89" s="147"/>
      <c r="X89" s="147"/>
      <c r="Z89" s="147"/>
      <c r="AA89" s="147"/>
      <c r="AC89" s="147"/>
      <c r="AD89" s="337"/>
      <c r="AG89" s="337"/>
      <c r="AJ89" s="337"/>
      <c r="AM89" s="337"/>
      <c r="AP89" s="808"/>
      <c r="AQ89" s="349"/>
      <c r="AR89" s="800"/>
      <c r="AS89" s="808"/>
      <c r="AT89" s="349"/>
      <c r="AU89" s="350"/>
      <c r="AV89" s="618"/>
      <c r="AW89" s="349"/>
      <c r="AX89" s="350"/>
      <c r="AY89" s="618"/>
      <c r="AZ89" s="349"/>
      <c r="BA89" s="350"/>
      <c r="BB89" s="618"/>
      <c r="BC89" s="349"/>
      <c r="BD89" s="800"/>
      <c r="BE89" s="808"/>
      <c r="BF89" s="349"/>
      <c r="BG89" s="350"/>
      <c r="BH89" s="618"/>
      <c r="BI89" s="349"/>
      <c r="BJ89" s="350"/>
      <c r="BK89" s="618"/>
      <c r="BL89" s="349"/>
      <c r="BM89" s="350"/>
      <c r="BN89" s="618"/>
      <c r="BO89" s="349"/>
      <c r="BP89" s="800"/>
      <c r="BQ89" s="808">
        <v>19999.985000000001</v>
      </c>
      <c r="BR89" s="349"/>
      <c r="BS89" s="350"/>
      <c r="BT89" s="618">
        <v>19999.985000000001</v>
      </c>
      <c r="BU89" s="349"/>
      <c r="BV89" s="350"/>
      <c r="BW89" s="618">
        <v>19999.985000000001</v>
      </c>
      <c r="BX89" s="349"/>
      <c r="BY89" s="350"/>
      <c r="BZ89" s="618"/>
      <c r="CA89" s="349">
        <f t="shared" si="347"/>
        <v>-1</v>
      </c>
      <c r="CB89" s="800">
        <f t="shared" si="348"/>
        <v>0</v>
      </c>
      <c r="CC89" s="808"/>
      <c r="CD89" s="349">
        <f t="shared" si="349"/>
        <v>0</v>
      </c>
      <c r="CE89" s="350">
        <f t="shared" si="350"/>
        <v>-1</v>
      </c>
      <c r="CF89" s="808">
        <v>-1.6160000000000001</v>
      </c>
      <c r="CG89" s="349">
        <f t="shared" si="351"/>
        <v>0</v>
      </c>
      <c r="CH89" s="350">
        <f t="shared" si="352"/>
        <v>-1.0000808000606001</v>
      </c>
      <c r="CI89" s="808">
        <v>-1.6259999999999999</v>
      </c>
      <c r="CJ89" s="349">
        <f t="shared" si="353"/>
        <v>6.1881188118810826E-3</v>
      </c>
      <c r="CK89" s="350">
        <f t="shared" si="354"/>
        <v>-1.000081300060975</v>
      </c>
      <c r="CL89" s="618"/>
      <c r="CM89" s="349"/>
      <c r="CN89" s="800"/>
    </row>
    <row r="90" spans="1:93" s="38" customFormat="1" ht="16.2" customHeight="1" x14ac:dyDescent="0.4">
      <c r="A90" s="156"/>
      <c r="B90" s="39"/>
      <c r="C90" s="803"/>
      <c r="D90" s="804"/>
      <c r="E90" s="337"/>
      <c r="F90" s="337"/>
      <c r="G90" s="337"/>
      <c r="H90" s="147"/>
      <c r="I90" s="147"/>
      <c r="J90" s="337"/>
      <c r="K90" s="147"/>
      <c r="L90" s="147"/>
      <c r="M90" s="337"/>
      <c r="N90" s="147"/>
      <c r="O90" s="147"/>
      <c r="P90" s="337"/>
      <c r="Q90" s="147"/>
      <c r="R90" s="147"/>
      <c r="S90" s="337"/>
      <c r="T90" s="147"/>
      <c r="U90" s="147"/>
      <c r="V90" s="337"/>
      <c r="W90" s="147"/>
      <c r="X90" s="147"/>
      <c r="Y90" s="337"/>
      <c r="Z90" s="147"/>
      <c r="AA90" s="147"/>
      <c r="AB90" s="337"/>
      <c r="AC90" s="147"/>
      <c r="AD90" s="337"/>
      <c r="AE90" s="337"/>
      <c r="AF90" s="337"/>
      <c r="AG90" s="337"/>
      <c r="AH90" s="337"/>
      <c r="AI90" s="337"/>
      <c r="AJ90" s="337"/>
      <c r="AK90" s="337"/>
      <c r="AL90" s="337"/>
      <c r="AM90" s="337"/>
      <c r="AN90" s="337"/>
      <c r="AO90" s="337"/>
      <c r="AP90" s="809"/>
      <c r="AQ90" s="810"/>
      <c r="AR90" s="811"/>
      <c r="AS90" s="809"/>
      <c r="AT90" s="810"/>
      <c r="AU90" s="814"/>
      <c r="AV90" s="815"/>
      <c r="AW90" s="810"/>
      <c r="AX90" s="814"/>
      <c r="AY90" s="815"/>
      <c r="AZ90" s="810"/>
      <c r="BA90" s="814"/>
      <c r="BB90" s="815"/>
      <c r="BC90" s="810"/>
      <c r="BD90" s="811"/>
      <c r="BE90" s="809"/>
      <c r="BF90" s="810"/>
      <c r="BG90" s="814"/>
      <c r="BH90" s="815"/>
      <c r="BI90" s="810"/>
      <c r="BJ90" s="814"/>
      <c r="BK90" s="815"/>
      <c r="BL90" s="810"/>
      <c r="BM90" s="814"/>
      <c r="BN90" s="815"/>
      <c r="BO90" s="810"/>
      <c r="BP90" s="811"/>
      <c r="BQ90" s="809">
        <f>SUM(BQ87:BQ89)</f>
        <v>2166.4939999999988</v>
      </c>
      <c r="BR90" s="810"/>
      <c r="BS90" s="814"/>
      <c r="BT90" s="815">
        <f>SUM(BT87:BT89)</f>
        <v>3260.1290000000008</v>
      </c>
      <c r="BU90" s="810"/>
      <c r="BV90" s="814"/>
      <c r="BW90" s="815">
        <f>SUM(BW87:BW89)</f>
        <v>3830.9979999999996</v>
      </c>
      <c r="BX90" s="810"/>
      <c r="BY90" s="814"/>
      <c r="BZ90" s="815">
        <f>SUM(BZ87:BZ89)</f>
        <v>4814.6639999999998</v>
      </c>
      <c r="CA90" s="899">
        <f t="shared" si="347"/>
        <v>0.25676494741057043</v>
      </c>
      <c r="CB90" s="900">
        <f t="shared" si="348"/>
        <v>0</v>
      </c>
      <c r="CC90" s="809">
        <f>SUM(CC87:CC89)</f>
        <v>6027.6440000000002</v>
      </c>
      <c r="CD90" s="810">
        <f t="shared" si="349"/>
        <v>0.25193450674854989</v>
      </c>
      <c r="CE90" s="814">
        <f t="shared" si="350"/>
        <v>1.7822112592972812</v>
      </c>
      <c r="CF90" s="809">
        <f>SUM(CF87:CF89)</f>
        <v>7584.9690000000001</v>
      </c>
      <c r="CG90" s="810">
        <f t="shared" si="351"/>
        <v>0.2583637985255931</v>
      </c>
      <c r="CH90" s="814">
        <f t="shared" si="352"/>
        <v>1.326585543087405</v>
      </c>
      <c r="CI90" s="809">
        <f>SUM(CI87:CI89)</f>
        <v>-1920.6330000000005</v>
      </c>
      <c r="CJ90" s="810">
        <f t="shared" si="353"/>
        <v>-1.2532156690422862</v>
      </c>
      <c r="CK90" s="814">
        <f t="shared" si="354"/>
        <v>-1.5013401207727073</v>
      </c>
      <c r="CL90" s="815"/>
      <c r="CM90" s="810"/>
      <c r="CN90" s="811"/>
      <c r="CO90" s="816"/>
    </row>
    <row r="91" spans="1:93" ht="16.2" customHeight="1" x14ac:dyDescent="0.4">
      <c r="BQ91" s="336" t="b">
        <f>ROUND(BQ90,0)=ROUND(BQ86,)</f>
        <v>1</v>
      </c>
      <c r="BT91" s="336" t="b">
        <f>ROUND(BT90,0)=ROUND(BT86,)</f>
        <v>1</v>
      </c>
      <c r="BW91" s="336" t="b">
        <f>ROUND(BW90,0)=ROUND(BW86,)</f>
        <v>1</v>
      </c>
      <c r="BZ91" s="336" t="b">
        <f>ROUND(BZ90,0)=ROUND(BZ86,)</f>
        <v>1</v>
      </c>
      <c r="CC91" s="336" t="b">
        <f>ROUND(CC90,0)=ROUND(CC86,)</f>
        <v>1</v>
      </c>
      <c r="CF91" s="336" t="b">
        <f>ROUND(CF90,0)=ROUND(CF86,)</f>
        <v>1</v>
      </c>
      <c r="CI91" s="336" t="b">
        <f>ROUND(CI90,0)=ROUND(CI86,)</f>
        <v>1</v>
      </c>
    </row>
  </sheetData>
  <phoneticPr fontId="3" type="noConversion"/>
  <conditionalFormatting sqref="J55 M55 P55 S55 V55 Y55 AB55 J64 M64 P64 S64 V64 Y64 AB64 J71 M71 P71 S71 V71 Y71 AB71">
    <cfRule type="cellIs" dxfId="294" priority="859" operator="lessThan">
      <formula>-0.1</formula>
    </cfRule>
    <cfRule type="cellIs" dxfId="293" priority="860" operator="greaterThan">
      <formula>0.1</formula>
    </cfRule>
  </conditionalFormatting>
  <conditionalFormatting sqref="J79 M79 P79 S79 V79 Y79 AB79">
    <cfRule type="cellIs" dxfId="292" priority="175" operator="lessThan">
      <formula>-0.1</formula>
    </cfRule>
    <cfRule type="cellIs" dxfId="291" priority="176" operator="greaterThan">
      <formula>0.1</formula>
    </cfRule>
  </conditionalFormatting>
  <conditionalFormatting sqref="J86 M86 P86 S86 V86 Y86 AB86">
    <cfRule type="cellIs" dxfId="290" priority="139" operator="lessThan">
      <formula>-0.1</formula>
    </cfRule>
    <cfRule type="cellIs" dxfId="289" priority="140" operator="greaterThan">
      <formula>0.1</formula>
    </cfRule>
  </conditionalFormatting>
  <conditionalFormatting sqref="J3:K51 M3:N51 P3:Q51 S3:T51 V3:W51 Y3:Z51 AB3:AC51 AE3:AF51 AH3:AI51 AK3:AL51 AN3:AO51 AQ3:AR51">
    <cfRule type="cellIs" dxfId="288" priority="191" operator="lessThan">
      <formula>0</formula>
    </cfRule>
    <cfRule type="cellIs" dxfId="287" priority="192" operator="greaterThan">
      <formula>0</formula>
    </cfRule>
  </conditionalFormatting>
  <conditionalFormatting sqref="AQ55:AR61">
    <cfRule type="cellIs" dxfId="286" priority="768" operator="greaterThan">
      <formula>0</formula>
    </cfRule>
    <cfRule type="cellIs" dxfId="285" priority="767" operator="lessThan">
      <formula>0</formula>
    </cfRule>
  </conditionalFormatting>
  <conditionalFormatting sqref="AQ64:AR68">
    <cfRule type="cellIs" dxfId="284" priority="762" operator="greaterThan">
      <formula>0</formula>
    </cfRule>
    <cfRule type="cellIs" dxfId="283" priority="761" operator="lessThan">
      <formula>0</formula>
    </cfRule>
  </conditionalFormatting>
  <conditionalFormatting sqref="AQ71:AR76">
    <cfRule type="cellIs" dxfId="282" priority="756" operator="greaterThan">
      <formula>0</formula>
    </cfRule>
    <cfRule type="cellIs" dxfId="281" priority="755" operator="lessThan">
      <formula>0</formula>
    </cfRule>
  </conditionalFormatting>
  <conditionalFormatting sqref="AQ79:AR84">
    <cfRule type="cellIs" dxfId="280" priority="69" operator="lessThan">
      <formula>0</formula>
    </cfRule>
    <cfRule type="cellIs" dxfId="279" priority="70" operator="greaterThan">
      <formula>0</formula>
    </cfRule>
  </conditionalFormatting>
  <conditionalFormatting sqref="AQ86:AR90">
    <cfRule type="cellIs" dxfId="278" priority="36" operator="greaterThan">
      <formula>0</formula>
    </cfRule>
    <cfRule type="cellIs" dxfId="277" priority="35" operator="lessThan">
      <formula>0</formula>
    </cfRule>
  </conditionalFormatting>
  <conditionalFormatting sqref="AT3:AU51">
    <cfRule type="cellIs" dxfId="276" priority="183" operator="lessThan">
      <formula>0</formula>
    </cfRule>
    <cfRule type="cellIs" dxfId="275" priority="184" operator="greaterThan">
      <formula>0</formula>
    </cfRule>
  </conditionalFormatting>
  <conditionalFormatting sqref="AT55:AU61">
    <cfRule type="cellIs" dxfId="274" priority="696" operator="greaterThan">
      <formula>0</formula>
    </cfRule>
    <cfRule type="cellIs" dxfId="273" priority="695" operator="lessThan">
      <formula>0</formula>
    </cfRule>
  </conditionalFormatting>
  <conditionalFormatting sqref="AT64:AU68">
    <cfRule type="cellIs" dxfId="272" priority="690" operator="greaterThan">
      <formula>0</formula>
    </cfRule>
    <cfRule type="cellIs" dxfId="271" priority="689" operator="lessThan">
      <formula>0</formula>
    </cfRule>
  </conditionalFormatting>
  <conditionalFormatting sqref="AT71:AU76">
    <cfRule type="cellIs" dxfId="270" priority="684" operator="greaterThan">
      <formula>0</formula>
    </cfRule>
    <cfRule type="cellIs" dxfId="269" priority="683" operator="lessThan">
      <formula>0</formula>
    </cfRule>
  </conditionalFormatting>
  <conditionalFormatting sqref="AT79:AU84">
    <cfRule type="cellIs" dxfId="268" priority="68" operator="greaterThan">
      <formula>0</formula>
    </cfRule>
    <cfRule type="cellIs" dxfId="267" priority="67" operator="lessThan">
      <formula>0</formula>
    </cfRule>
  </conditionalFormatting>
  <conditionalFormatting sqref="AT86:AU90">
    <cfRule type="cellIs" dxfId="266" priority="33" operator="lessThan">
      <formula>0</formula>
    </cfRule>
    <cfRule type="cellIs" dxfId="265" priority="34" operator="greaterThan">
      <formula>0</formula>
    </cfRule>
  </conditionalFormatting>
  <conditionalFormatting sqref="AW3:AX51">
    <cfRule type="cellIs" dxfId="264" priority="186" operator="greaterThan">
      <formula>0</formula>
    </cfRule>
    <cfRule type="cellIs" dxfId="263" priority="185" operator="lessThan">
      <formula>0</formula>
    </cfRule>
  </conditionalFormatting>
  <conditionalFormatting sqref="AW55:AX61">
    <cfRule type="cellIs" dxfId="262" priority="678" operator="greaterThan">
      <formula>0</formula>
    </cfRule>
    <cfRule type="cellIs" dxfId="261" priority="677" operator="lessThan">
      <formula>0</formula>
    </cfRule>
  </conditionalFormatting>
  <conditionalFormatting sqref="AW64:AX68">
    <cfRule type="cellIs" dxfId="260" priority="671" operator="lessThan">
      <formula>0</formula>
    </cfRule>
    <cfRule type="cellIs" dxfId="259" priority="672" operator="greaterThan">
      <formula>0</formula>
    </cfRule>
  </conditionalFormatting>
  <conditionalFormatting sqref="AW71:AX76">
    <cfRule type="cellIs" dxfId="258" priority="665" operator="lessThan">
      <formula>0</formula>
    </cfRule>
    <cfRule type="cellIs" dxfId="257" priority="666" operator="greaterThan">
      <formula>0</formula>
    </cfRule>
  </conditionalFormatting>
  <conditionalFormatting sqref="AW79:AX84">
    <cfRule type="cellIs" dxfId="256" priority="66" operator="greaterThan">
      <formula>0</formula>
    </cfRule>
    <cfRule type="cellIs" dxfId="255" priority="65" operator="lessThan">
      <formula>0</formula>
    </cfRule>
  </conditionalFormatting>
  <conditionalFormatting sqref="AW86:AX90">
    <cfRule type="cellIs" dxfId="254" priority="32" operator="greaterThan">
      <formula>0</formula>
    </cfRule>
    <cfRule type="cellIs" dxfId="253" priority="31" operator="lessThan">
      <formula>0</formula>
    </cfRule>
  </conditionalFormatting>
  <conditionalFormatting sqref="AZ3:BA51">
    <cfRule type="cellIs" dxfId="252" priority="188" operator="greaterThan">
      <formula>0</formula>
    </cfRule>
    <cfRule type="cellIs" dxfId="251" priority="187" operator="lessThan">
      <formula>0</formula>
    </cfRule>
  </conditionalFormatting>
  <conditionalFormatting sqref="AZ55:BA61">
    <cfRule type="cellIs" dxfId="250" priority="659" operator="lessThan">
      <formula>0</formula>
    </cfRule>
    <cfRule type="cellIs" dxfId="249" priority="660" operator="greaterThan">
      <formula>0</formula>
    </cfRule>
  </conditionalFormatting>
  <conditionalFormatting sqref="AZ64:BA68">
    <cfRule type="cellIs" dxfId="248" priority="654" operator="greaterThan">
      <formula>0</formula>
    </cfRule>
    <cfRule type="cellIs" dxfId="247" priority="653" operator="lessThan">
      <formula>0</formula>
    </cfRule>
  </conditionalFormatting>
  <conditionalFormatting sqref="AZ71:BA76">
    <cfRule type="cellIs" dxfId="246" priority="648" operator="greaterThan">
      <formula>0</formula>
    </cfRule>
    <cfRule type="cellIs" dxfId="245" priority="647" operator="lessThan">
      <formula>0</formula>
    </cfRule>
  </conditionalFormatting>
  <conditionalFormatting sqref="AZ79:BA84">
    <cfRule type="cellIs" dxfId="244" priority="63" operator="lessThan">
      <formula>0</formula>
    </cfRule>
    <cfRule type="cellIs" dxfId="243" priority="64" operator="greaterThan">
      <formula>0</formula>
    </cfRule>
  </conditionalFormatting>
  <conditionalFormatting sqref="AZ86:BA90">
    <cfRule type="cellIs" dxfId="242" priority="30" operator="greaterThan">
      <formula>0</formula>
    </cfRule>
    <cfRule type="cellIs" dxfId="241" priority="29" operator="lessThan">
      <formula>0</formula>
    </cfRule>
  </conditionalFormatting>
  <conditionalFormatting sqref="BC3:BD51">
    <cfRule type="cellIs" dxfId="240" priority="189" operator="lessThan">
      <formula>0</formula>
    </cfRule>
    <cfRule type="cellIs" dxfId="239" priority="190" operator="greaterThan">
      <formula>0</formula>
    </cfRule>
  </conditionalFormatting>
  <conditionalFormatting sqref="BC55:BD61">
    <cfRule type="cellIs" dxfId="238" priority="641" operator="lessThan">
      <formula>0</formula>
    </cfRule>
    <cfRule type="cellIs" dxfId="237" priority="642" operator="greaterThan">
      <formula>0</formula>
    </cfRule>
  </conditionalFormatting>
  <conditionalFormatting sqref="BC64:BD68">
    <cfRule type="cellIs" dxfId="236" priority="635" operator="lessThan">
      <formula>0</formula>
    </cfRule>
    <cfRule type="cellIs" dxfId="235" priority="636" operator="greaterThan">
      <formula>0</formula>
    </cfRule>
  </conditionalFormatting>
  <conditionalFormatting sqref="BC71:BD76">
    <cfRule type="cellIs" dxfId="234" priority="630" operator="greaterThan">
      <formula>0</formula>
    </cfRule>
    <cfRule type="cellIs" dxfId="233" priority="629" operator="lessThan">
      <formula>0</formula>
    </cfRule>
  </conditionalFormatting>
  <conditionalFormatting sqref="BC79:BD84">
    <cfRule type="cellIs" dxfId="232" priority="62" operator="greaterThan">
      <formula>0</formula>
    </cfRule>
    <cfRule type="cellIs" dxfId="231" priority="61" operator="lessThan">
      <formula>0</formula>
    </cfRule>
  </conditionalFormatting>
  <conditionalFormatting sqref="BC86:BD90">
    <cfRule type="cellIs" dxfId="230" priority="28" operator="greaterThan">
      <formula>0</formula>
    </cfRule>
    <cfRule type="cellIs" dxfId="229" priority="27" operator="lessThan">
      <formula>0</formula>
    </cfRule>
  </conditionalFormatting>
  <conditionalFormatting sqref="BF3:BG51 BI3:BJ51 BL3:BM51 BO3:BP51 BR3:BS51 BU3:BV51">
    <cfRule type="cellIs" dxfId="228" priority="194" operator="greaterThan">
      <formula>0</formula>
    </cfRule>
    <cfRule type="cellIs" dxfId="227" priority="193" operator="lessThan">
      <formula>0</formula>
    </cfRule>
  </conditionalFormatting>
  <conditionalFormatting sqref="BF55:BG61">
    <cfRule type="cellIs" dxfId="226" priority="497" operator="lessThan">
      <formula>0</formula>
    </cfRule>
    <cfRule type="cellIs" dxfId="225" priority="498" operator="greaterThan">
      <formula>0</formula>
    </cfRule>
  </conditionalFormatting>
  <conditionalFormatting sqref="BF64:BG68">
    <cfRule type="cellIs" dxfId="224" priority="491" operator="lessThan">
      <formula>0</formula>
    </cfRule>
    <cfRule type="cellIs" dxfId="223" priority="492" operator="greaterThan">
      <formula>0</formula>
    </cfRule>
  </conditionalFormatting>
  <conditionalFormatting sqref="BF71:BG76">
    <cfRule type="cellIs" dxfId="222" priority="486" operator="greaterThan">
      <formula>0</formula>
    </cfRule>
    <cfRule type="cellIs" dxfId="221" priority="485" operator="lessThan">
      <formula>0</formula>
    </cfRule>
  </conditionalFormatting>
  <conditionalFormatting sqref="BF79:BG84">
    <cfRule type="cellIs" dxfId="220" priority="59" operator="lessThan">
      <formula>0</formula>
    </cfRule>
    <cfRule type="cellIs" dxfId="219" priority="60" operator="greaterThan">
      <formula>0</formula>
    </cfRule>
  </conditionalFormatting>
  <conditionalFormatting sqref="BF86:BG90">
    <cfRule type="cellIs" dxfId="218" priority="25" operator="lessThan">
      <formula>0</formula>
    </cfRule>
    <cfRule type="cellIs" dxfId="217" priority="26" operator="greaterThan">
      <formula>0</formula>
    </cfRule>
  </conditionalFormatting>
  <conditionalFormatting sqref="BI55:BJ61">
    <cfRule type="cellIs" dxfId="216" priority="480" operator="greaterThan">
      <formula>0</formula>
    </cfRule>
    <cfRule type="cellIs" dxfId="215" priority="479" operator="lessThan">
      <formula>0</formula>
    </cfRule>
  </conditionalFormatting>
  <conditionalFormatting sqref="BI64:BJ68">
    <cfRule type="cellIs" dxfId="214" priority="473" operator="lessThan">
      <formula>0</formula>
    </cfRule>
    <cfRule type="cellIs" dxfId="213" priority="474" operator="greaterThan">
      <formula>0</formula>
    </cfRule>
  </conditionalFormatting>
  <conditionalFormatting sqref="BI71:BJ76">
    <cfRule type="cellIs" dxfId="212" priority="468" operator="greaterThan">
      <formula>0</formula>
    </cfRule>
    <cfRule type="cellIs" dxfId="211" priority="467" operator="lessThan">
      <formula>0</formula>
    </cfRule>
  </conditionalFormatting>
  <conditionalFormatting sqref="BI79:BJ84">
    <cfRule type="cellIs" dxfId="210" priority="57" operator="lessThan">
      <formula>0</formula>
    </cfRule>
    <cfRule type="cellIs" dxfId="209" priority="58" operator="greaterThan">
      <formula>0</formula>
    </cfRule>
  </conditionalFormatting>
  <conditionalFormatting sqref="BI86:BJ90">
    <cfRule type="cellIs" dxfId="208" priority="24" operator="greaterThan">
      <formula>0</formula>
    </cfRule>
    <cfRule type="cellIs" dxfId="207" priority="23" operator="lessThan">
      <formula>0</formula>
    </cfRule>
  </conditionalFormatting>
  <conditionalFormatting sqref="BL55:BM61">
    <cfRule type="cellIs" dxfId="206" priority="462" operator="greaterThan">
      <formula>0</formula>
    </cfRule>
    <cfRule type="cellIs" dxfId="205" priority="461" operator="lessThan">
      <formula>0</formula>
    </cfRule>
  </conditionalFormatting>
  <conditionalFormatting sqref="BL64:BM68">
    <cfRule type="cellIs" dxfId="204" priority="456" operator="greaterThan">
      <formula>0</formula>
    </cfRule>
    <cfRule type="cellIs" dxfId="203" priority="455" operator="lessThan">
      <formula>0</formula>
    </cfRule>
  </conditionalFormatting>
  <conditionalFormatting sqref="BL71:BM76">
    <cfRule type="cellIs" dxfId="202" priority="449" operator="lessThan">
      <formula>0</formula>
    </cfRule>
    <cfRule type="cellIs" dxfId="201" priority="450" operator="greaterThan">
      <formula>0</formula>
    </cfRule>
  </conditionalFormatting>
  <conditionalFormatting sqref="BL79:BM84">
    <cfRule type="cellIs" dxfId="200" priority="56" operator="greaterThan">
      <formula>0</formula>
    </cfRule>
    <cfRule type="cellIs" dxfId="199" priority="55" operator="lessThan">
      <formula>0</formula>
    </cfRule>
  </conditionalFormatting>
  <conditionalFormatting sqref="BL86:BM90">
    <cfRule type="cellIs" dxfId="198" priority="22" operator="greaterThan">
      <formula>0</formula>
    </cfRule>
    <cfRule type="cellIs" dxfId="197" priority="21" operator="lessThan">
      <formula>0</formula>
    </cfRule>
  </conditionalFormatting>
  <conditionalFormatting sqref="BO55:BP61">
    <cfRule type="cellIs" dxfId="196" priority="443" operator="lessThan">
      <formula>0</formula>
    </cfRule>
    <cfRule type="cellIs" dxfId="195" priority="444" operator="greaterThan">
      <formula>0</formula>
    </cfRule>
  </conditionalFormatting>
  <conditionalFormatting sqref="BO64:BP68">
    <cfRule type="cellIs" dxfId="194" priority="437" operator="lessThan">
      <formula>0</formula>
    </cfRule>
    <cfRule type="cellIs" dxfId="193" priority="438" operator="greaterThan">
      <formula>0</formula>
    </cfRule>
  </conditionalFormatting>
  <conditionalFormatting sqref="BO71:BP76">
    <cfRule type="cellIs" dxfId="192" priority="432" operator="greaterThan">
      <formula>0</formula>
    </cfRule>
    <cfRule type="cellIs" dxfId="191" priority="431" operator="lessThan">
      <formula>0</formula>
    </cfRule>
  </conditionalFormatting>
  <conditionalFormatting sqref="BO79:BP84">
    <cfRule type="cellIs" dxfId="190" priority="54" operator="greaterThan">
      <formula>0</formula>
    </cfRule>
    <cfRule type="cellIs" dxfId="189" priority="53" operator="lessThan">
      <formula>0</formula>
    </cfRule>
  </conditionalFormatting>
  <conditionalFormatting sqref="BO86:BP90">
    <cfRule type="cellIs" dxfId="188" priority="19" operator="lessThan">
      <formula>0</formula>
    </cfRule>
    <cfRule type="cellIs" dxfId="187" priority="20" operator="greaterThan">
      <formula>0</formula>
    </cfRule>
  </conditionalFormatting>
  <conditionalFormatting sqref="BR55:BS61">
    <cfRule type="cellIs" dxfId="186" priority="408" operator="greaterThan">
      <formula>0</formula>
    </cfRule>
    <cfRule type="cellIs" dxfId="185" priority="407" operator="lessThan">
      <formula>0</formula>
    </cfRule>
  </conditionalFormatting>
  <conditionalFormatting sqref="BR64:BS68">
    <cfRule type="cellIs" dxfId="184" priority="402" operator="greaterThan">
      <formula>0</formula>
    </cfRule>
    <cfRule type="cellIs" dxfId="183" priority="401" operator="lessThan">
      <formula>0</formula>
    </cfRule>
  </conditionalFormatting>
  <conditionalFormatting sqref="BR71:BS76">
    <cfRule type="cellIs" dxfId="182" priority="396" operator="greaterThan">
      <formula>0</formula>
    </cfRule>
    <cfRule type="cellIs" dxfId="181" priority="395" operator="lessThan">
      <formula>0</formula>
    </cfRule>
  </conditionalFormatting>
  <conditionalFormatting sqref="BR79:BS84">
    <cfRule type="cellIs" dxfId="180" priority="51" operator="lessThan">
      <formula>0</formula>
    </cfRule>
    <cfRule type="cellIs" dxfId="179" priority="52" operator="greaterThan">
      <formula>0</formula>
    </cfRule>
  </conditionalFormatting>
  <conditionalFormatting sqref="BR86:BS90">
    <cfRule type="cellIs" dxfId="178" priority="18" operator="greaterThan">
      <formula>0</formula>
    </cfRule>
    <cfRule type="cellIs" dxfId="177" priority="17" operator="lessThan">
      <formula>0</formula>
    </cfRule>
  </conditionalFormatting>
  <conditionalFormatting sqref="BU55:BV61">
    <cfRule type="cellIs" dxfId="176" priority="389" operator="lessThan">
      <formula>0</formula>
    </cfRule>
    <cfRule type="cellIs" dxfId="175" priority="390" operator="greaterThan">
      <formula>0</formula>
    </cfRule>
  </conditionalFormatting>
  <conditionalFormatting sqref="BU64:BV68">
    <cfRule type="cellIs" dxfId="174" priority="383" operator="lessThan">
      <formula>0</formula>
    </cfRule>
    <cfRule type="cellIs" dxfId="173" priority="384" operator="greaterThan">
      <formula>0</formula>
    </cfRule>
  </conditionalFormatting>
  <conditionalFormatting sqref="BU71:BV76">
    <cfRule type="cellIs" dxfId="172" priority="377" operator="lessThan">
      <formula>0</formula>
    </cfRule>
    <cfRule type="cellIs" dxfId="171" priority="378" operator="greaterThan">
      <formula>0</formula>
    </cfRule>
  </conditionalFormatting>
  <conditionalFormatting sqref="BU79:BV84">
    <cfRule type="cellIs" dxfId="170" priority="50" operator="greaterThan">
      <formula>0</formula>
    </cfRule>
    <cfRule type="cellIs" dxfId="169" priority="49" operator="lessThan">
      <formula>0</formula>
    </cfRule>
  </conditionalFormatting>
  <conditionalFormatting sqref="BU86:BV90">
    <cfRule type="cellIs" dxfId="168" priority="16" operator="greaterThan">
      <formula>0</formula>
    </cfRule>
    <cfRule type="cellIs" dxfId="167" priority="15" operator="lessThan">
      <formula>0</formula>
    </cfRule>
  </conditionalFormatting>
  <conditionalFormatting sqref="BX3:BY51">
    <cfRule type="cellIs" dxfId="166" priority="195" operator="lessThan">
      <formula>0</formula>
    </cfRule>
    <cfRule type="cellIs" dxfId="165" priority="196" operator="greaterThan">
      <formula>0</formula>
    </cfRule>
  </conditionalFormatting>
  <conditionalFormatting sqref="BX55:BY61">
    <cfRule type="cellIs" dxfId="164" priority="371" operator="lessThan">
      <formula>0</formula>
    </cfRule>
    <cfRule type="cellIs" dxfId="163" priority="372" operator="greaterThan">
      <formula>0</formula>
    </cfRule>
  </conditionalFormatting>
  <conditionalFormatting sqref="BX64:BY68">
    <cfRule type="cellIs" dxfId="162" priority="366" operator="greaterThan">
      <formula>0</formula>
    </cfRule>
    <cfRule type="cellIs" dxfId="161" priority="365" operator="lessThan">
      <formula>0</formula>
    </cfRule>
  </conditionalFormatting>
  <conditionalFormatting sqref="BX71:BY76">
    <cfRule type="cellIs" dxfId="160" priority="359" operator="lessThan">
      <formula>0</formula>
    </cfRule>
    <cfRule type="cellIs" dxfId="159" priority="360" operator="greaterThan">
      <formula>0</formula>
    </cfRule>
  </conditionalFormatting>
  <conditionalFormatting sqref="BX79:BY84">
    <cfRule type="cellIs" dxfId="158" priority="47" operator="lessThan">
      <formula>0</formula>
    </cfRule>
    <cfRule type="cellIs" dxfId="157" priority="48" operator="greaterThan">
      <formula>0</formula>
    </cfRule>
  </conditionalFormatting>
  <conditionalFormatting sqref="BX86:BY90">
    <cfRule type="cellIs" dxfId="156" priority="14" operator="greaterThan">
      <formula>0</formula>
    </cfRule>
    <cfRule type="cellIs" dxfId="155" priority="13" operator="lessThan">
      <formula>0</formula>
    </cfRule>
  </conditionalFormatting>
  <conditionalFormatting sqref="CA3:CB51">
    <cfRule type="cellIs" dxfId="154" priority="869" operator="greaterThan">
      <formula>0</formula>
    </cfRule>
    <cfRule type="cellIs" dxfId="153" priority="868" operator="lessThan">
      <formula>0</formula>
    </cfRule>
  </conditionalFormatting>
  <conditionalFormatting sqref="CA55:CB61">
    <cfRule type="cellIs" dxfId="152" priority="353" operator="lessThan">
      <formula>0</formula>
    </cfRule>
    <cfRule type="cellIs" dxfId="151" priority="354" operator="greaterThan">
      <formula>0</formula>
    </cfRule>
  </conditionalFormatting>
  <conditionalFormatting sqref="CA64:CB68">
    <cfRule type="cellIs" dxfId="150" priority="348" operator="greaterThan">
      <formula>0</formula>
    </cfRule>
    <cfRule type="cellIs" dxfId="149" priority="347" operator="lessThan">
      <formula>0</formula>
    </cfRule>
  </conditionalFormatting>
  <conditionalFormatting sqref="CA71:CB76">
    <cfRule type="cellIs" dxfId="148" priority="342" operator="greaterThan">
      <formula>0</formula>
    </cfRule>
    <cfRule type="cellIs" dxfId="147" priority="341" operator="lessThan">
      <formula>0</formula>
    </cfRule>
  </conditionalFormatting>
  <conditionalFormatting sqref="CA79:CB84">
    <cfRule type="cellIs" dxfId="146" priority="46" operator="greaterThan">
      <formula>0</formula>
    </cfRule>
    <cfRule type="cellIs" dxfId="145" priority="45" operator="lessThan">
      <formula>0</formula>
    </cfRule>
  </conditionalFormatting>
  <conditionalFormatting sqref="CA86:CB90">
    <cfRule type="cellIs" dxfId="144" priority="1" operator="lessThan">
      <formula>0</formula>
    </cfRule>
    <cfRule type="cellIs" dxfId="143" priority="2" operator="greaterThan">
      <formula>0</formula>
    </cfRule>
  </conditionalFormatting>
  <conditionalFormatting sqref="CD3:CE51 CG3:CH51">
    <cfRule type="cellIs" dxfId="142" priority="247" operator="lessThan">
      <formula>0</formula>
    </cfRule>
    <cfRule type="cellIs" dxfId="141" priority="248" operator="greaterThan">
      <formula>0</formula>
    </cfRule>
  </conditionalFormatting>
  <conditionalFormatting sqref="CD55:CE61">
    <cfRule type="cellIs" dxfId="140" priority="246" operator="greaterThan">
      <formula>0</formula>
    </cfRule>
    <cfRule type="cellIs" dxfId="139" priority="245" operator="lessThan">
      <formula>0</formula>
    </cfRule>
  </conditionalFormatting>
  <conditionalFormatting sqref="CD64:CE68">
    <cfRule type="cellIs" dxfId="138" priority="243" operator="lessThan">
      <formula>0</formula>
    </cfRule>
    <cfRule type="cellIs" dxfId="137" priority="244" operator="greaterThan">
      <formula>0</formula>
    </cfRule>
  </conditionalFormatting>
  <conditionalFormatting sqref="CD71:CE76">
    <cfRule type="cellIs" dxfId="136" priority="242" operator="greaterThan">
      <formula>0</formula>
    </cfRule>
    <cfRule type="cellIs" dxfId="135" priority="241" operator="lessThan">
      <formula>0</formula>
    </cfRule>
  </conditionalFormatting>
  <conditionalFormatting sqref="CD79:CE84">
    <cfRule type="cellIs" dxfId="134" priority="42" operator="greaterThan">
      <formula>0</formula>
    </cfRule>
    <cfRule type="cellIs" dxfId="133" priority="41" operator="lessThan">
      <formula>0</formula>
    </cfRule>
  </conditionalFormatting>
  <conditionalFormatting sqref="CD86:CE90">
    <cfRule type="cellIs" dxfId="132" priority="8" operator="greaterThan">
      <formula>0</formula>
    </cfRule>
    <cfRule type="cellIs" dxfId="131" priority="7" operator="lessThan">
      <formula>0</formula>
    </cfRule>
  </conditionalFormatting>
  <conditionalFormatting sqref="CG55:CH61">
    <cfRule type="cellIs" dxfId="130" priority="214" operator="greaterThan">
      <formula>0</formula>
    </cfRule>
    <cfRule type="cellIs" dxfId="129" priority="213" operator="lessThan">
      <formula>0</formula>
    </cfRule>
  </conditionalFormatting>
  <conditionalFormatting sqref="CG64:CH68">
    <cfRule type="cellIs" dxfId="128" priority="212" operator="greaterThan">
      <formula>0</formula>
    </cfRule>
    <cfRule type="cellIs" dxfId="127" priority="211" operator="lessThan">
      <formula>0</formula>
    </cfRule>
  </conditionalFormatting>
  <conditionalFormatting sqref="CG71:CH76">
    <cfRule type="cellIs" dxfId="126" priority="210" operator="greaterThan">
      <formula>0</formula>
    </cfRule>
    <cfRule type="cellIs" dxfId="125" priority="209" operator="lessThan">
      <formula>0</formula>
    </cfRule>
  </conditionalFormatting>
  <conditionalFormatting sqref="CG79:CH84">
    <cfRule type="cellIs" dxfId="124" priority="39" operator="lessThan">
      <formula>0</formula>
    </cfRule>
    <cfRule type="cellIs" dxfId="123" priority="40" operator="greaterThan">
      <formula>0</formula>
    </cfRule>
  </conditionalFormatting>
  <conditionalFormatting sqref="CG86:CH90">
    <cfRule type="cellIs" dxfId="122" priority="6" operator="greaterThan">
      <formula>0</formula>
    </cfRule>
    <cfRule type="cellIs" dxfId="121" priority="5" operator="lessThan">
      <formula>0</formula>
    </cfRule>
  </conditionalFormatting>
  <conditionalFormatting sqref="CJ3:CK51 CM3:CN51">
    <cfRule type="cellIs" dxfId="120" priority="339" operator="lessThan">
      <formula>0</formula>
    </cfRule>
    <cfRule type="cellIs" dxfId="119" priority="340" operator="greaterThan">
      <formula>0</formula>
    </cfRule>
  </conditionalFormatting>
  <conditionalFormatting sqref="CJ55:CK61">
    <cfRule type="cellIs" dxfId="118" priority="177" operator="lessThan">
      <formula>0</formula>
    </cfRule>
    <cfRule type="cellIs" dxfId="117" priority="178" operator="greaterThan">
      <formula>0</formula>
    </cfRule>
  </conditionalFormatting>
  <conditionalFormatting sqref="CJ64:CK68">
    <cfRule type="cellIs" dxfId="116" priority="181" operator="lessThan">
      <formula>0</formula>
    </cfRule>
    <cfRule type="cellIs" dxfId="115" priority="182" operator="greaterThan">
      <formula>0</formula>
    </cfRule>
  </conditionalFormatting>
  <conditionalFormatting sqref="CJ71:CK76">
    <cfRule type="cellIs" dxfId="114" priority="179" operator="lessThan">
      <formula>0</formula>
    </cfRule>
    <cfRule type="cellIs" dxfId="113" priority="180" operator="greaterThan">
      <formula>0</formula>
    </cfRule>
  </conditionalFormatting>
  <conditionalFormatting sqref="CJ79:CK84">
    <cfRule type="cellIs" dxfId="112" priority="38" operator="greaterThan">
      <formula>0</formula>
    </cfRule>
    <cfRule type="cellIs" dxfId="111" priority="37" operator="lessThan">
      <formula>0</formula>
    </cfRule>
  </conditionalFormatting>
  <conditionalFormatting sqref="CJ86:CK90">
    <cfRule type="cellIs" dxfId="110" priority="3" operator="lessThan">
      <formula>0</formula>
    </cfRule>
    <cfRule type="cellIs" dxfId="109" priority="4" operator="greaterThan">
      <formula>0</formula>
    </cfRule>
  </conditionalFormatting>
  <conditionalFormatting sqref="CM55:CN61">
    <cfRule type="cellIs" dxfId="108" priority="261" operator="lessThan">
      <formula>0</formula>
    </cfRule>
    <cfRule type="cellIs" dxfId="107" priority="262" operator="greaterThan">
      <formula>0</formula>
    </cfRule>
  </conditionalFormatting>
  <conditionalFormatting sqref="CM64:CN68">
    <cfRule type="cellIs" dxfId="106" priority="255" operator="lessThan">
      <formula>0</formula>
    </cfRule>
    <cfRule type="cellIs" dxfId="105" priority="256" operator="greaterThan">
      <formula>0</formula>
    </cfRule>
  </conditionalFormatting>
  <conditionalFormatting sqref="CM71:CN76">
    <cfRule type="cellIs" dxfId="104" priority="249" operator="lessThan">
      <formula>0</formula>
    </cfRule>
    <cfRule type="cellIs" dxfId="103" priority="250" operator="greaterThan">
      <formula>0</formula>
    </cfRule>
  </conditionalFormatting>
  <conditionalFormatting sqref="CM79:CN84">
    <cfRule type="cellIs" dxfId="102" priority="44" operator="greaterThan">
      <formula>0</formula>
    </cfRule>
    <cfRule type="cellIs" dxfId="101" priority="43" operator="lessThan">
      <formula>0</formula>
    </cfRule>
  </conditionalFormatting>
  <conditionalFormatting sqref="CM86:CN90">
    <cfRule type="cellIs" dxfId="100" priority="9" operator="lessThan">
      <formula>0</formula>
    </cfRule>
    <cfRule type="cellIs" dxfId="99" priority="10" operator="greaterThan">
      <formula>0</formula>
    </cfRule>
  </conditionalFormatting>
  <pageMargins left="0.25" right="0.25" top="0.75" bottom="0.75" header="0.3" footer="0.3"/>
  <pageSetup paperSize="9" scale="53" fitToHeight="0" orientation="landscape" r:id="rId1"/>
  <colBreaks count="1" manualBreakCount="1">
    <brk id="44" max="49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5E0B-D40E-4084-9561-FD4EE9E90A42}">
  <sheetPr>
    <tabColor theme="8"/>
  </sheetPr>
  <dimension ref="A1"/>
  <sheetViews>
    <sheetView workbookViewId="0"/>
  </sheetViews>
  <sheetFormatPr defaultRowHeight="17.399999999999999" x14ac:dyDescent="0.4"/>
  <sheetData/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81B6-C60A-42F2-89CB-6579F56AC60B}">
  <sheetPr>
    <pageSetUpPr fitToPage="1"/>
  </sheetPr>
  <dimension ref="A1:Q74"/>
  <sheetViews>
    <sheetView showGridLines="0" view="pageBreakPreview" zoomScaleNormal="100" zoomScaleSheetLayoutView="100" workbookViewId="0">
      <pane xSplit="3" ySplit="3" topLeftCell="D24" activePane="bottomRight" state="frozen"/>
      <selection activeCell="D4" sqref="D4:G24"/>
      <selection pane="topRight" activeCell="D4" sqref="D4:G24"/>
      <selection pane="bottomLeft" activeCell="D4" sqref="D4:G24"/>
      <selection pane="bottomRight" activeCell="P38" sqref="P38"/>
    </sheetView>
  </sheetViews>
  <sheetFormatPr defaultColWidth="7.59765625" defaultRowHeight="16.2" customHeight="1" outlineLevelCol="1" x14ac:dyDescent="0.4"/>
  <cols>
    <col min="1" max="1" width="3.19921875" style="156" customWidth="1"/>
    <col min="2" max="2" width="14.5" style="103" customWidth="1"/>
    <col min="3" max="3" width="24.09765625" style="103" bestFit="1" customWidth="1"/>
    <col min="4" max="10" width="9.19921875" style="205" customWidth="1"/>
    <col min="11" max="11" width="9.19921875" style="205" hidden="1" customWidth="1" outlineLevel="1"/>
    <col min="12" max="12" width="7.59765625" style="11" collapsed="1"/>
    <col min="13" max="16384" width="7.59765625" style="11"/>
  </cols>
  <sheetData>
    <row r="1" spans="1:17" s="45" customFormat="1" ht="13.2" x14ac:dyDescent="0.4">
      <c r="A1" s="157"/>
      <c r="B1" s="40" t="s">
        <v>268</v>
      </c>
      <c r="C1" s="44"/>
      <c r="D1" s="207"/>
      <c r="E1" s="207"/>
      <c r="F1" s="207"/>
      <c r="G1" s="11" t="s">
        <v>405</v>
      </c>
      <c r="H1" s="207"/>
      <c r="I1" s="207"/>
      <c r="J1" s="207"/>
      <c r="K1" s="207"/>
    </row>
    <row r="2" spans="1:17" ht="16.2" customHeight="1" x14ac:dyDescent="0.4">
      <c r="B2" s="40" t="s">
        <v>127</v>
      </c>
      <c r="C2" s="41"/>
      <c r="H2" s="131" t="s">
        <v>404</v>
      </c>
      <c r="K2" s="131"/>
    </row>
    <row r="3" spans="1:17" s="41" customFormat="1" ht="16.2" customHeight="1" x14ac:dyDescent="0.4">
      <c r="A3" s="156">
        <v>1</v>
      </c>
      <c r="B3" s="197" t="str">
        <f>'2025 IS_Quarterly'!B3</f>
        <v>(단위 : 십억원)</v>
      </c>
      <c r="C3" s="197" t="str">
        <f>'2025 IS_Quarterly'!C3</f>
        <v>(Unit: Billion KRW)</v>
      </c>
      <c r="D3" s="208" t="s">
        <v>214</v>
      </c>
      <c r="E3" s="209" t="s">
        <v>309</v>
      </c>
      <c r="F3" s="209" t="s">
        <v>310</v>
      </c>
      <c r="G3" s="209" t="s">
        <v>311</v>
      </c>
      <c r="H3" s="208" t="s">
        <v>272</v>
      </c>
      <c r="I3" s="209" t="s">
        <v>417</v>
      </c>
      <c r="J3" s="209" t="s">
        <v>448</v>
      </c>
      <c r="K3" s="209"/>
    </row>
    <row r="4" spans="1:17" s="50" customFormat="1" ht="16.2" customHeight="1" x14ac:dyDescent="0.4">
      <c r="A4" s="156">
        <f t="shared" ref="A4" si="0">A3+1</f>
        <v>2</v>
      </c>
      <c r="B4" s="47" t="str">
        <f>'2025 IS_Quarterly'!B4</f>
        <v>매출</v>
      </c>
      <c r="C4" s="48" t="str">
        <f>'2025 IS_Quarterly'!C4</f>
        <v>Revenue</v>
      </c>
      <c r="D4" s="213">
        <f>'2025 IS_Quarterly'!D4</f>
        <v>50.378999999999998</v>
      </c>
      <c r="E4" s="214">
        <f>D4+'2025 IS_Quarterly'!E4</f>
        <v>109.12</v>
      </c>
      <c r="F4" s="214">
        <f>E4+'2025 IS_Quarterly'!F4</f>
        <v>168.53399999999999</v>
      </c>
      <c r="G4" s="215">
        <f>F4+'2025 IS_Quarterly'!G4</f>
        <v>242.93783225300001</v>
      </c>
      <c r="H4" s="213">
        <f>'2025 IS_Quarterly'!H4</f>
        <v>77.113</v>
      </c>
      <c r="I4" s="214">
        <f>H4+'2025 IS_Quarterly'!K4</f>
        <v>160.39699999999999</v>
      </c>
      <c r="J4" s="214">
        <f>I4+'2025 IS_Quarterly'!N4</f>
        <v>243.39400000000001</v>
      </c>
      <c r="K4" s="215"/>
      <c r="Q4" s="902"/>
    </row>
    <row r="5" spans="1:17" s="58" customFormat="1" ht="16.2" customHeight="1" x14ac:dyDescent="0.4">
      <c r="A5" s="156">
        <f>A4+1</f>
        <v>3</v>
      </c>
      <c r="B5" s="53" t="str">
        <f>'2025 IS_Quarterly'!B5</f>
        <v>매출원가</v>
      </c>
      <c r="C5" s="54" t="str">
        <f>'2025 IS_Quarterly'!C5</f>
        <v>COGS</v>
      </c>
      <c r="D5" s="221">
        <f>'2025 IS_Quarterly'!D5</f>
        <v>-10.177</v>
      </c>
      <c r="E5" s="222">
        <f>D5+'2025 IS_Quarterly'!E5</f>
        <v>-21.405000000000001</v>
      </c>
      <c r="F5" s="222">
        <f>E5+'2025 IS_Quarterly'!F5</f>
        <v>-34.219000000000001</v>
      </c>
      <c r="G5" s="223">
        <f>F5+'2025 IS_Quarterly'!G5</f>
        <v>-51.811629616000005</v>
      </c>
      <c r="H5" s="221">
        <f>'2025 IS_Quarterly'!H5</f>
        <v>-15.786</v>
      </c>
      <c r="I5" s="222">
        <f>H5+'2025 IS_Quarterly'!K5</f>
        <v>-35.052</v>
      </c>
      <c r="J5" s="222">
        <f>I5+'2025 IS_Quarterly'!N5</f>
        <v>-54.325000000000003</v>
      </c>
      <c r="K5" s="223"/>
    </row>
    <row r="6" spans="1:17" s="58" customFormat="1" ht="16.2" customHeight="1" x14ac:dyDescent="0.4">
      <c r="A6" s="156">
        <f t="shared" ref="A6:A23" si="1">A5+1</f>
        <v>4</v>
      </c>
      <c r="B6" s="59" t="str">
        <f>'2025 IS_Quarterly'!B6</f>
        <v>(%)</v>
      </c>
      <c r="C6" s="60" t="str">
        <f>'2025 IS_Quarterly'!C6</f>
        <v>(%)</v>
      </c>
      <c r="D6" s="229">
        <f>-D5/D$4</f>
        <v>0.20200877349689356</v>
      </c>
      <c r="E6" s="230">
        <f t="shared" ref="E6:J6" si="2">-E5/E$4</f>
        <v>0.19616019061583578</v>
      </c>
      <c r="F6" s="230">
        <f t="shared" si="2"/>
        <v>0.20303914937045345</v>
      </c>
      <c r="G6" s="231">
        <f t="shared" si="2"/>
        <v>0.21327114486656984</v>
      </c>
      <c r="H6" s="229">
        <f t="shared" si="2"/>
        <v>0.20471256467781049</v>
      </c>
      <c r="I6" s="230">
        <f t="shared" si="2"/>
        <v>0.21853276557541601</v>
      </c>
      <c r="J6" s="230">
        <f t="shared" si="2"/>
        <v>0.22319777808820268</v>
      </c>
      <c r="K6" s="231"/>
    </row>
    <row r="7" spans="1:17" s="21" customFormat="1" ht="16.2" customHeight="1" x14ac:dyDescent="0.4">
      <c r="A7" s="156">
        <f t="shared" si="1"/>
        <v>5</v>
      </c>
      <c r="B7" s="61" t="str">
        <f>'2025 IS_Quarterly'!B7</f>
        <v>매출총이익</v>
      </c>
      <c r="C7" s="62" t="str">
        <f>'2025 IS_Quarterly'!C7</f>
        <v>Gross Profit</v>
      </c>
      <c r="D7" s="234">
        <f>'2025 IS_Quarterly'!D7</f>
        <v>40.201999999999998</v>
      </c>
      <c r="E7" s="235">
        <f>D7+'2025 IS_Quarterly'!E7</f>
        <v>87.715000000000003</v>
      </c>
      <c r="F7" s="235">
        <f>E7+'2025 IS_Quarterly'!F7</f>
        <v>134.315</v>
      </c>
      <c r="G7" s="236">
        <f>F7+'2025 IS_Quarterly'!G7</f>
        <v>191.12620263700001</v>
      </c>
      <c r="H7" s="234">
        <f>'2025 IS_Quarterly'!H7</f>
        <v>61.326999999999998</v>
      </c>
      <c r="I7" s="235">
        <f>H7+'2025 IS_Quarterly'!K7</f>
        <v>125.345</v>
      </c>
      <c r="J7" s="235">
        <f>I7+'2025 IS_Quarterly'!N7</f>
        <v>189.06900000000002</v>
      </c>
      <c r="K7" s="236"/>
    </row>
    <row r="8" spans="1:17" s="201" customFormat="1" ht="16.2" customHeight="1" x14ac:dyDescent="0.4">
      <c r="A8" s="156">
        <f t="shared" si="1"/>
        <v>6</v>
      </c>
      <c r="B8" s="199" t="str">
        <f>'2025 IS_Quarterly'!B8</f>
        <v>(%)</v>
      </c>
      <c r="C8" s="200" t="str">
        <f>'2025 IS_Quarterly'!C8</f>
        <v>(%)</v>
      </c>
      <c r="D8" s="239">
        <v>0.7979912265031065</v>
      </c>
      <c r="E8" s="240">
        <v>0.80383980938416422</v>
      </c>
      <c r="F8" s="240">
        <v>0.79696085062954658</v>
      </c>
      <c r="G8" s="241">
        <v>0.78672885513343016</v>
      </c>
      <c r="H8" s="239">
        <f t="shared" ref="H8:I8" si="3">H7/H$4</f>
        <v>0.79528743532218948</v>
      </c>
      <c r="I8" s="240">
        <f t="shared" si="3"/>
        <v>0.78146723442458399</v>
      </c>
      <c r="J8" s="240">
        <f t="shared" ref="J8" si="4">J7/J$4</f>
        <v>0.77680222191179737</v>
      </c>
      <c r="K8" s="241"/>
    </row>
    <row r="9" spans="1:17" s="71" customFormat="1" ht="16.2" customHeight="1" x14ac:dyDescent="0.4">
      <c r="A9" s="156">
        <f t="shared" si="1"/>
        <v>7</v>
      </c>
      <c r="B9" s="69" t="str">
        <f>'2025 IS_Quarterly'!B9</f>
        <v>판관비</v>
      </c>
      <c r="C9" s="70" t="str">
        <f>'2025 IS_Quarterly'!C9</f>
        <v>SG&amp;A</v>
      </c>
      <c r="D9" s="245">
        <f>'2025 IS_Quarterly'!D9</f>
        <v>-13.694000000000001</v>
      </c>
      <c r="E9" s="246">
        <f>D9+'2025 IS_Quarterly'!E9</f>
        <v>-30.020000000000003</v>
      </c>
      <c r="F9" s="246">
        <f>E9+'2025 IS_Quarterly'!F9</f>
        <v>-47.668000000000006</v>
      </c>
      <c r="G9" s="247">
        <f>F9+'2025 IS_Quarterly'!G9</f>
        <v>-68.684887671000013</v>
      </c>
      <c r="H9" s="245">
        <f>'2025 IS_Quarterly'!H9</f>
        <v>-22.545999999999999</v>
      </c>
      <c r="I9" s="246">
        <f>H9+'2025 IS_Quarterly'!K9</f>
        <v>-43.552999999999997</v>
      </c>
      <c r="J9" s="246">
        <f>I9+'2025 IS_Quarterly'!N9</f>
        <v>-69.658999999999992</v>
      </c>
      <c r="K9" s="247"/>
    </row>
    <row r="10" spans="1:17" s="71" customFormat="1" ht="16.2" customHeight="1" x14ac:dyDescent="0.4">
      <c r="A10" s="156">
        <f t="shared" si="1"/>
        <v>8</v>
      </c>
      <c r="B10" s="59" t="str">
        <f>'2025 IS_Quarterly'!B10</f>
        <v>(%)</v>
      </c>
      <c r="C10" s="60" t="str">
        <f>'2025 IS_Quarterly'!C10</f>
        <v>(%)</v>
      </c>
      <c r="D10" s="229">
        <f t="shared" ref="D10:J10" si="5">-D9/D$4</f>
        <v>0.27181960737608929</v>
      </c>
      <c r="E10" s="230">
        <f t="shared" si="5"/>
        <v>0.27510997067448684</v>
      </c>
      <c r="F10" s="230">
        <f t="shared" si="5"/>
        <v>0.28283907104797851</v>
      </c>
      <c r="G10" s="231">
        <f t="shared" si="5"/>
        <v>0.28272618979933223</v>
      </c>
      <c r="H10" s="229">
        <f t="shared" si="5"/>
        <v>0.29237612335144525</v>
      </c>
      <c r="I10" s="230">
        <f t="shared" si="5"/>
        <v>0.2715325099596626</v>
      </c>
      <c r="J10" s="230">
        <f t="shared" si="5"/>
        <v>0.28619850941272174</v>
      </c>
      <c r="K10" s="231"/>
    </row>
    <row r="11" spans="1:17" s="50" customFormat="1" ht="16.2" customHeight="1" x14ac:dyDescent="0.4">
      <c r="A11" s="156">
        <f t="shared" si="1"/>
        <v>9</v>
      </c>
      <c r="B11" s="47" t="str">
        <f>'2025 IS_Quarterly'!B11</f>
        <v>영업이익</v>
      </c>
      <c r="C11" s="48" t="str">
        <f>'2025 IS_Quarterly'!C11</f>
        <v>Operating Profit</v>
      </c>
      <c r="D11" s="213">
        <f>'2025 IS_Quarterly'!D11</f>
        <v>26.507999999999996</v>
      </c>
      <c r="E11" s="214">
        <f>D11+'2025 IS_Quarterly'!E11</f>
        <v>57.695999999999998</v>
      </c>
      <c r="F11" s="214">
        <f>E11+'2025 IS_Quarterly'!F11</f>
        <v>86.647999999999996</v>
      </c>
      <c r="G11" s="215">
        <f>F11+'2025 IS_Quarterly'!G11</f>
        <v>122.442314966</v>
      </c>
      <c r="H11" s="213">
        <f>'2025 IS_Quarterly'!H11</f>
        <v>38.780999999999999</v>
      </c>
      <c r="I11" s="214">
        <f>H11+'2025 IS_Quarterly'!K11</f>
        <v>81.792000000000002</v>
      </c>
      <c r="J11" s="214">
        <f>I11+'2025 IS_Quarterly'!N11</f>
        <v>119.41</v>
      </c>
      <c r="K11" s="215"/>
    </row>
    <row r="12" spans="1:17" s="202" customFormat="1" ht="16.2" customHeight="1" x14ac:dyDescent="0.4">
      <c r="A12" s="156">
        <f t="shared" si="1"/>
        <v>10</v>
      </c>
      <c r="B12" s="199" t="str">
        <f>'2025 IS_Quarterly'!B12</f>
        <v>(%)</v>
      </c>
      <c r="C12" s="200" t="str">
        <f>'2025 IS_Quarterly'!C12</f>
        <v>(%)</v>
      </c>
      <c r="D12" s="239">
        <f>D11/D$4</f>
        <v>0.52617161912701715</v>
      </c>
      <c r="E12" s="240">
        <f t="shared" ref="E12:J12" si="6">E11/E$4</f>
        <v>0.52873900293255127</v>
      </c>
      <c r="F12" s="240">
        <f t="shared" si="6"/>
        <v>0.51412771310240069</v>
      </c>
      <c r="G12" s="241">
        <f t="shared" si="6"/>
        <v>0.50400678161352108</v>
      </c>
      <c r="H12" s="239">
        <f t="shared" si="6"/>
        <v>0.50291131197074423</v>
      </c>
      <c r="I12" s="240">
        <f t="shared" si="6"/>
        <v>0.5099347244649215</v>
      </c>
      <c r="J12" s="240">
        <f t="shared" si="6"/>
        <v>0.49060371249907553</v>
      </c>
      <c r="K12" s="241"/>
    </row>
    <row r="13" spans="1:17" s="141" customFormat="1" ht="16.2" customHeight="1" x14ac:dyDescent="0.4">
      <c r="A13" s="156" t="e">
        <f>#REF!+1</f>
        <v>#REF!</v>
      </c>
      <c r="B13" s="493" t="str">
        <f>'2025 IS_Quarterly'!B13</f>
        <v>금융수익</v>
      </c>
      <c r="C13" s="494" t="str">
        <f>'2025 IS_Quarterly'!C13</f>
        <v>Financial  Income</v>
      </c>
      <c r="D13" s="495">
        <f>'2025 IS_Quarterly'!D13</f>
        <v>6.48</v>
      </c>
      <c r="E13" s="496">
        <f>D13+'2025 IS_Quarterly'!E13</f>
        <v>11.334</v>
      </c>
      <c r="F13" s="496">
        <f>E13+'2025 IS_Quarterly'!F13</f>
        <v>8.2739999999999991</v>
      </c>
      <c r="G13" s="533">
        <f>F13+'2025 IS_Quarterly'!G13</f>
        <v>24.207351461000002</v>
      </c>
      <c r="H13" s="495">
        <f>'2025 IS_Quarterly'!H13</f>
        <v>2.137</v>
      </c>
      <c r="I13" s="496">
        <f>H13+'2025 IS_Quarterly'!K13</f>
        <v>3.1559999999999997</v>
      </c>
      <c r="J13" s="496">
        <f>I13+'2025 IS_Quarterly'!N13</f>
        <v>5.4009999999999998</v>
      </c>
      <c r="K13" s="533"/>
    </row>
    <row r="14" spans="1:17" s="141" customFormat="1" ht="16.2" customHeight="1" x14ac:dyDescent="0.4">
      <c r="A14" s="156" t="e">
        <f t="shared" si="1"/>
        <v>#REF!</v>
      </c>
      <c r="B14" s="493" t="str">
        <f>'2025 IS_Quarterly'!B14</f>
        <v>금융비용</v>
      </c>
      <c r="C14" s="494" t="str">
        <f>'2025 IS_Quarterly'!C14</f>
        <v>Financial Expenses</v>
      </c>
      <c r="D14" s="495">
        <f>'2025 IS_Quarterly'!D14</f>
        <v>-0.86599000000000004</v>
      </c>
      <c r="E14" s="496">
        <f>D14+'2025 IS_Quarterly'!E14</f>
        <v>-2.6349900000000002</v>
      </c>
      <c r="F14" s="496">
        <f>E14+'2025 IS_Quarterly'!F14</f>
        <v>-5.3096756169999999</v>
      </c>
      <c r="G14" s="533">
        <f>F14+'2025 IS_Quarterly'!G14</f>
        <v>-6.226291335</v>
      </c>
      <c r="H14" s="495">
        <f>'2025 IS_Quarterly'!H14</f>
        <v>-1.411586</v>
      </c>
      <c r="I14" s="496">
        <f>H14+'2025 IS_Quarterly'!K14</f>
        <v>-12.916586000000001</v>
      </c>
      <c r="J14" s="496">
        <f>I14+'2025 IS_Quarterly'!N14</f>
        <v>-9.9425860000000004</v>
      </c>
      <c r="K14" s="533"/>
    </row>
    <row r="15" spans="1:17" s="141" customFormat="1" ht="16.2" customHeight="1" x14ac:dyDescent="0.4">
      <c r="A15" s="156" t="e">
        <f t="shared" si="1"/>
        <v>#REF!</v>
      </c>
      <c r="B15" s="493" t="str">
        <f>'2025 IS_Quarterly'!B15</f>
        <v>기타수익</v>
      </c>
      <c r="C15" s="494" t="str">
        <f>'2025 IS_Quarterly'!C15</f>
        <v>Other Income</v>
      </c>
      <c r="D15" s="495">
        <f>'2025 IS_Quarterly'!D15</f>
        <v>4.0000000000000002E-4</v>
      </c>
      <c r="E15" s="496">
        <f>D15+'2025 IS_Quarterly'!E15</f>
        <v>9.3999999999999986E-3</v>
      </c>
      <c r="F15" s="496">
        <f>E15+'2025 IS_Quarterly'!F15</f>
        <v>1.0775158999999999E-2</v>
      </c>
      <c r="G15" s="533">
        <f>F15+'2025 IS_Quarterly'!G15</f>
        <v>2.7579911999999998E-2</v>
      </c>
      <c r="H15" s="495">
        <f>'2025 IS_Quarterly'!H15</f>
        <v>4.4999999999999998E-2</v>
      </c>
      <c r="I15" s="496">
        <f>H15+'2025 IS_Quarterly'!K15</f>
        <v>8.0999999999999989E-2</v>
      </c>
      <c r="J15" s="496">
        <f>I15+'2025 IS_Quarterly'!N15</f>
        <v>0.13499999999999998</v>
      </c>
      <c r="K15" s="533"/>
    </row>
    <row r="16" spans="1:17" s="141" customFormat="1" ht="16.2" customHeight="1" x14ac:dyDescent="0.4">
      <c r="A16" s="156" t="e">
        <f t="shared" si="1"/>
        <v>#REF!</v>
      </c>
      <c r="B16" s="493" t="str">
        <f>'2025 IS_Quarterly'!B16</f>
        <v>기타비용</v>
      </c>
      <c r="C16" s="494" t="str">
        <f>'2025 IS_Quarterly'!C16</f>
        <v>Other Expenses</v>
      </c>
      <c r="D16" s="495">
        <f>'2025 IS_Quarterly'!D16</f>
        <v>-3.6009999999999986E-2</v>
      </c>
      <c r="E16" s="496">
        <f>D16+'2025 IS_Quarterly'!E16</f>
        <v>0.22299000000000002</v>
      </c>
      <c r="F16" s="496">
        <f>E16+'2025 IS_Quarterly'!F16</f>
        <v>0.22505970800000002</v>
      </c>
      <c r="G16" s="533">
        <f>F16+'2025 IS_Quarterly'!G16</f>
        <v>-11.192114703</v>
      </c>
      <c r="H16" s="495">
        <f>'2025 IS_Quarterly'!H16</f>
        <v>-1.4139999999999986E-3</v>
      </c>
      <c r="I16" s="496">
        <f>H16+'2025 IS_Quarterly'!K16</f>
        <v>-0.65141400000000005</v>
      </c>
      <c r="J16" s="496">
        <f>I16+'2025 IS_Quarterly'!N16</f>
        <v>-0.70041400000000009</v>
      </c>
      <c r="K16" s="533"/>
    </row>
    <row r="17" spans="1:11" s="6" customFormat="1" ht="23.4" customHeight="1" x14ac:dyDescent="0.4">
      <c r="A17" s="156" t="e">
        <f t="shared" si="1"/>
        <v>#REF!</v>
      </c>
      <c r="B17" s="520" t="str">
        <f>'2025 IS_Quarterly'!B17</f>
        <v>법인세차감전
순이익</v>
      </c>
      <c r="C17" s="497" t="str">
        <f>'2025 IS_Quarterly'!C17</f>
        <v>Net Income Before Income Tax</v>
      </c>
      <c r="D17" s="534">
        <f>'2025 IS_Quarterly'!D17</f>
        <v>32.086400000000005</v>
      </c>
      <c r="E17" s="535">
        <f>D17+'2025 IS_Quarterly'!E17</f>
        <v>66.627400000000009</v>
      </c>
      <c r="F17" s="535">
        <f>E17+'2025 IS_Quarterly'!F17</f>
        <v>89.025503704000016</v>
      </c>
      <c r="G17" s="536">
        <f>F17+'2025 IS_Quarterly'!G17</f>
        <v>127.92528341100002</v>
      </c>
      <c r="H17" s="534">
        <f>'2025 IS_Quarterly'!H17</f>
        <v>39.550000000000004</v>
      </c>
      <c r="I17" s="535">
        <f>H17+'2025 IS_Quarterly'!K17</f>
        <v>71.460999999999999</v>
      </c>
      <c r="J17" s="535">
        <f>I17+'2025 IS_Quarterly'!N17</f>
        <v>114.303</v>
      </c>
      <c r="K17" s="536"/>
    </row>
    <row r="18" spans="1:11" s="508" customFormat="1" ht="13.2" x14ac:dyDescent="0.4">
      <c r="A18" s="156" t="e">
        <f t="shared" si="1"/>
        <v>#REF!</v>
      </c>
      <c r="B18" s="498" t="str">
        <f>'2025 IS_Quarterly'!B18</f>
        <v>법인세비용</v>
      </c>
      <c r="C18" s="499" t="str">
        <f>'2025 IS_Quarterly'!C18</f>
        <v>Tax Expenses</v>
      </c>
      <c r="D18" s="500">
        <f>'2025 IS_Quarterly'!D18</f>
        <v>-6.0024000000000051</v>
      </c>
      <c r="E18" s="501">
        <f>D18+'2025 IS_Quarterly'!E18</f>
        <v>-13.9634</v>
      </c>
      <c r="F18" s="501">
        <f>E18+'2025 IS_Quarterly'!F18</f>
        <v>-19.871983784000001</v>
      </c>
      <c r="G18" s="502">
        <f>F18+'2025 IS_Quarterly'!G18</f>
        <v>-30.055766947000009</v>
      </c>
      <c r="H18" s="500">
        <f>'2025 IS_Quarterly'!H18</f>
        <v>-9.8270000000000053</v>
      </c>
      <c r="I18" s="501">
        <f>H18+'2025 IS_Quarterly'!K18</f>
        <v>-15.265999999999998</v>
      </c>
      <c r="J18" s="501">
        <f>I18+'2025 IS_Quarterly'!N18</f>
        <v>-25.000000000000007</v>
      </c>
      <c r="K18" s="502"/>
    </row>
    <row r="19" spans="1:11" s="21" customFormat="1" ht="16.2" customHeight="1" x14ac:dyDescent="0.4">
      <c r="A19" s="156" t="e">
        <f t="shared" si="1"/>
        <v>#REF!</v>
      </c>
      <c r="B19" s="61" t="str">
        <f>'2025 IS_Quarterly'!B19</f>
        <v>지배주주 순이익</v>
      </c>
      <c r="C19" s="62" t="str">
        <f>'2025 IS_Quarterly'!C19</f>
        <v>Net Income</v>
      </c>
      <c r="D19" s="256">
        <f>'2025 IS_Quarterly'!D19</f>
        <v>26.084</v>
      </c>
      <c r="E19" s="257">
        <f>D19+'2025 IS_Quarterly'!E19</f>
        <v>52.664000000000001</v>
      </c>
      <c r="F19" s="257">
        <f>E19+'2025 IS_Quarterly'!F19</f>
        <v>69.153519920000008</v>
      </c>
      <c r="G19" s="258">
        <f>F19+'2025 IS_Quarterly'!G19</f>
        <v>97.869516464000014</v>
      </c>
      <c r="H19" s="256">
        <f>'2025 IS_Quarterly'!H19</f>
        <v>29.722999999999999</v>
      </c>
      <c r="I19" s="257">
        <f>H19+'2025 IS_Quarterly'!K19</f>
        <v>56.195</v>
      </c>
      <c r="J19" s="257">
        <f>I19+'2025 IS_Quarterly'!N19</f>
        <v>89.302999999999997</v>
      </c>
      <c r="K19" s="258"/>
    </row>
    <row r="20" spans="1:11" s="201" customFormat="1" ht="16.2" customHeight="1" x14ac:dyDescent="0.4">
      <c r="A20" s="156" t="e">
        <f t="shared" si="1"/>
        <v>#REF!</v>
      </c>
      <c r="B20" s="199" t="str">
        <f>'2025 IS_Quarterly'!B20</f>
        <v>(%)</v>
      </c>
      <c r="C20" s="200" t="str">
        <f>'2025 IS_Quarterly'!C20</f>
        <v>(%)</v>
      </c>
      <c r="D20" s="239">
        <f t="shared" ref="D20:J20" si="7">D19/D$4</f>
        <v>0.51775541396216684</v>
      </c>
      <c r="E20" s="240">
        <f t="shared" si="7"/>
        <v>0.48262463343108503</v>
      </c>
      <c r="F20" s="240">
        <f t="shared" si="7"/>
        <v>0.41032385109236125</v>
      </c>
      <c r="G20" s="241">
        <f t="shared" si="7"/>
        <v>0.40285827677130531</v>
      </c>
      <c r="H20" s="239">
        <f t="shared" si="7"/>
        <v>0.38544733054089453</v>
      </c>
      <c r="I20" s="240">
        <f t="shared" si="7"/>
        <v>0.35034944543850571</v>
      </c>
      <c r="J20" s="240">
        <f t="shared" si="7"/>
        <v>0.36690715465459295</v>
      </c>
      <c r="K20" s="241"/>
    </row>
    <row r="21" spans="1:11" s="74" customFormat="1" ht="16.2" customHeight="1" x14ac:dyDescent="0.4">
      <c r="A21" s="156" t="e">
        <f t="shared" si="1"/>
        <v>#REF!</v>
      </c>
      <c r="B21" s="72" t="str">
        <f>'2025 IS_Quarterly'!B21</f>
        <v>감가상각비</v>
      </c>
      <c r="C21" s="73" t="str">
        <f>'2025 IS_Quarterly'!C21</f>
        <v>DA</v>
      </c>
      <c r="D21" s="260">
        <f>'2025 IS_Quarterly'!D21</f>
        <v>1.159778</v>
      </c>
      <c r="E21" s="261">
        <f>D21+'2025 IS_Quarterly'!E21</f>
        <v>2.3363449999999997</v>
      </c>
      <c r="F21" s="261">
        <f>E21+'2025 IS_Quarterly'!F21</f>
        <v>3.5403449999999994</v>
      </c>
      <c r="G21" s="262">
        <f>F21+'2025 IS_Quarterly'!G21</f>
        <v>7.2174803819999998</v>
      </c>
      <c r="H21" s="260">
        <f>'2025 IS_Quarterly'!H21</f>
        <v>3.5550000000000002</v>
      </c>
      <c r="I21" s="261">
        <f>H21+'2025 IS_Quarterly'!K21</f>
        <v>7.1989999999999998</v>
      </c>
      <c r="J21" s="261">
        <f>I21+'2025 IS_Quarterly'!N21</f>
        <v>10.917</v>
      </c>
      <c r="K21" s="262"/>
    </row>
    <row r="22" spans="1:11" s="50" customFormat="1" ht="16.2" customHeight="1" x14ac:dyDescent="0.4">
      <c r="A22" s="156" t="e">
        <f t="shared" si="1"/>
        <v>#REF!</v>
      </c>
      <c r="B22" s="47" t="str">
        <f>'2025 IS_Quarterly'!B22</f>
        <v>EBITDA</v>
      </c>
      <c r="C22" s="48" t="str">
        <f>'2025 IS_Quarterly'!C22</f>
        <v>EBITDA</v>
      </c>
      <c r="D22" s="213">
        <f>'2025 IS_Quarterly'!D22</f>
        <v>27.667777999999995</v>
      </c>
      <c r="E22" s="214">
        <f>D22+'2025 IS_Quarterly'!E22</f>
        <v>60.031344999999988</v>
      </c>
      <c r="F22" s="214">
        <f>E22+'2025 IS_Quarterly'!F22</f>
        <v>90.187344999999993</v>
      </c>
      <c r="G22" s="215">
        <f>F22+'2025 IS_Quarterly'!G22</f>
        <v>129.65879534800001</v>
      </c>
      <c r="H22" s="213">
        <f>'2025 IS_Quarterly'!H22</f>
        <v>42.335999999999999</v>
      </c>
      <c r="I22" s="214">
        <f>H22+'2025 IS_Quarterly'!K22</f>
        <v>88.990999999999985</v>
      </c>
      <c r="J22" s="214">
        <f>I22+'2025 IS_Quarterly'!N22</f>
        <v>130.327</v>
      </c>
      <c r="K22" s="215"/>
    </row>
    <row r="23" spans="1:11" s="202" customFormat="1" ht="16.2" customHeight="1" thickBot="1" x14ac:dyDescent="0.45">
      <c r="A23" s="156" t="e">
        <f t="shared" si="1"/>
        <v>#REF!</v>
      </c>
      <c r="B23" s="203" t="str">
        <f>'2025 IS_Quarterly'!B23</f>
        <v>(%)</v>
      </c>
      <c r="C23" s="203" t="str">
        <f>'2025 IS_Quarterly'!C23</f>
        <v>(%)</v>
      </c>
      <c r="D23" s="268">
        <f t="shared" ref="D23:J23" si="8">D22/D$4</f>
        <v>0.5491926794894697</v>
      </c>
      <c r="E23" s="269">
        <f t="shared" si="8"/>
        <v>0.55014062499999983</v>
      </c>
      <c r="F23" s="269">
        <f t="shared" si="8"/>
        <v>0.53512849039362975</v>
      </c>
      <c r="G23" s="270">
        <f t="shared" si="8"/>
        <v>0.53371183131728495</v>
      </c>
      <c r="H23" s="268">
        <f t="shared" si="8"/>
        <v>0.54901248816671633</v>
      </c>
      <c r="I23" s="269">
        <f t="shared" si="8"/>
        <v>0.554817110045699</v>
      </c>
      <c r="J23" s="269">
        <f t="shared" si="8"/>
        <v>0.53545691348184421</v>
      </c>
      <c r="K23" s="270"/>
    </row>
    <row r="24" spans="1:11" s="74" customFormat="1" ht="16.2" customHeight="1" x14ac:dyDescent="0.4">
      <c r="A24" s="158"/>
      <c r="B24" s="75"/>
      <c r="C24" s="75"/>
      <c r="D24" s="262"/>
      <c r="E24" s="262"/>
      <c r="F24" s="262"/>
      <c r="G24" s="262"/>
      <c r="H24" s="262"/>
      <c r="I24" s="262"/>
      <c r="J24" s="262"/>
      <c r="K24" s="262"/>
    </row>
    <row r="25" spans="1:11" s="45" customFormat="1" ht="13.8" thickBot="1" x14ac:dyDescent="0.45">
      <c r="A25" s="157"/>
      <c r="B25" s="43" t="s">
        <v>128</v>
      </c>
      <c r="C25" s="44"/>
      <c r="D25" s="207">
        <v>2024</v>
      </c>
      <c r="E25" s="207">
        <v>2024</v>
      </c>
      <c r="F25" s="207">
        <v>2024</v>
      </c>
      <c r="G25" s="207">
        <v>2024</v>
      </c>
      <c r="H25" s="207" t="s">
        <v>254</v>
      </c>
      <c r="I25" s="207"/>
      <c r="J25" s="207"/>
      <c r="K25" s="207"/>
    </row>
    <row r="26" spans="1:11" s="41" customFormat="1" ht="16.2" customHeight="1" x14ac:dyDescent="0.4">
      <c r="A26" s="156">
        <v>1</v>
      </c>
      <c r="B26" s="24" t="str">
        <f>'2025 IS_Quarterly'!B26</f>
        <v>(단위 : 십억원)</v>
      </c>
      <c r="C26" s="197" t="str">
        <f>'2025 IS_Quarterly'!C26</f>
        <v>(Unit: Billion KRW)</v>
      </c>
      <c r="D26" s="277" t="str">
        <f t="shared" ref="D26:J26" si="9">D3</f>
        <v>1Q24</v>
      </c>
      <c r="E26" s="278" t="str">
        <f t="shared" si="9"/>
        <v>2Q24 YTD</v>
      </c>
      <c r="F26" s="278" t="str">
        <f t="shared" si="9"/>
        <v>3Q24 YTD</v>
      </c>
      <c r="G26" s="278" t="str">
        <f t="shared" si="9"/>
        <v>4Q24 YTD</v>
      </c>
      <c r="H26" s="277" t="str">
        <f t="shared" si="9"/>
        <v>1Q25</v>
      </c>
      <c r="I26" s="278" t="str">
        <f t="shared" si="9"/>
        <v>2Q25 YTD</v>
      </c>
      <c r="J26" s="278" t="str">
        <f t="shared" si="9"/>
        <v>3Q25 YTD</v>
      </c>
      <c r="K26" s="278"/>
    </row>
    <row r="27" spans="1:11" s="21" customFormat="1" ht="16.2" customHeight="1" x14ac:dyDescent="0.4">
      <c r="A27" s="156">
        <f>A26+1</f>
        <v>2</v>
      </c>
      <c r="B27" s="76" t="str">
        <f>'2025 IS_Quarterly'!B27</f>
        <v>장비</v>
      </c>
      <c r="C27" s="77" t="str">
        <f>'2025 IS_Quarterly'!C27</f>
        <v>Device</v>
      </c>
      <c r="D27" s="78">
        <f t="shared" ref="D27" si="10">D28+D29</f>
        <v>22.195999999999998</v>
      </c>
      <c r="E27" s="79">
        <f>D27+'2025 IS_Quarterly'!E27</f>
        <v>53.093999999999994</v>
      </c>
      <c r="F27" s="79">
        <f>E27+'2025 IS_Quarterly'!F27</f>
        <v>85.828000000000003</v>
      </c>
      <c r="G27" s="80">
        <f>F27+'2025 IS_Quarterly'!G27</f>
        <v>123.89100000000001</v>
      </c>
      <c r="H27" s="78">
        <f>'2025 IS_Quarterly'!H27</f>
        <v>35.067</v>
      </c>
      <c r="I27" s="79">
        <f>H27+'2025 IS_Quarterly'!K27</f>
        <v>80.557000000000002</v>
      </c>
      <c r="J27" s="79">
        <f>I27+'2025 IS_Quarterly'!N27</f>
        <v>123.504</v>
      </c>
      <c r="K27" s="80"/>
    </row>
    <row r="28" spans="1:11" s="89" customFormat="1" ht="16.2" customHeight="1" x14ac:dyDescent="0.4">
      <c r="A28" s="156">
        <f t="shared" ref="A28:A41" si="11">A27+1</f>
        <v>3</v>
      </c>
      <c r="B28" s="83" t="str">
        <f>'2025 IS_Quarterly'!B28</f>
        <v>수출</v>
      </c>
      <c r="C28" s="84" t="str">
        <f>'2025 IS_Quarterly'!C28</f>
        <v>Global</v>
      </c>
      <c r="D28" s="286">
        <f>'2025 IS_Quarterly'!D28</f>
        <v>15.593</v>
      </c>
      <c r="E28" s="287">
        <f>D28+'2025 IS_Quarterly'!E28</f>
        <v>39.838999999999999</v>
      </c>
      <c r="F28" s="287">
        <f>E28+'2025 IS_Quarterly'!F28</f>
        <v>66.33</v>
      </c>
      <c r="G28" s="288">
        <f>F28+'2025 IS_Quarterly'!G28</f>
        <v>94.888999999999996</v>
      </c>
      <c r="H28" s="286">
        <f>'2025 IS_Quarterly'!H28</f>
        <v>25.904</v>
      </c>
      <c r="I28" s="287">
        <f>H28+'2025 IS_Quarterly'!K28</f>
        <v>58.763999999999996</v>
      </c>
      <c r="J28" s="287">
        <f>I28+'2025 IS_Quarterly'!N28</f>
        <v>90.102000000000004</v>
      </c>
      <c r="K28" s="288"/>
    </row>
    <row r="29" spans="1:11" s="89" customFormat="1" ht="16.2" customHeight="1" x14ac:dyDescent="0.4">
      <c r="A29" s="156">
        <f t="shared" si="11"/>
        <v>4</v>
      </c>
      <c r="B29" s="83" t="str">
        <f>'2025 IS_Quarterly'!B29</f>
        <v>내수</v>
      </c>
      <c r="C29" s="84" t="str">
        <f>'2025 IS_Quarterly'!C29</f>
        <v>Korea</v>
      </c>
      <c r="D29" s="286">
        <f>'2025 IS_Quarterly'!D29</f>
        <v>6.6029999999999998</v>
      </c>
      <c r="E29" s="287">
        <f>D29+'2025 IS_Quarterly'!E29</f>
        <v>13.254999999999999</v>
      </c>
      <c r="F29" s="287">
        <f>E29+'2025 IS_Quarterly'!F29</f>
        <v>19.497999999999998</v>
      </c>
      <c r="G29" s="288">
        <f>F29+'2025 IS_Quarterly'!G29</f>
        <v>29.001999999999995</v>
      </c>
      <c r="H29" s="286">
        <f>'2025 IS_Quarterly'!H29</f>
        <v>9.1630000000000003</v>
      </c>
      <c r="I29" s="287">
        <f>H29+'2025 IS_Quarterly'!K29</f>
        <v>21.792999999999999</v>
      </c>
      <c r="J29" s="287">
        <f>I29+'2025 IS_Quarterly'!N29</f>
        <v>33.402000000000001</v>
      </c>
      <c r="K29" s="288"/>
    </row>
    <row r="30" spans="1:11" s="21" customFormat="1" ht="16.2" customHeight="1" x14ac:dyDescent="0.4">
      <c r="A30" s="156">
        <f t="shared" si="11"/>
        <v>5</v>
      </c>
      <c r="B30" s="76" t="str">
        <f>'2025 IS_Quarterly'!B30</f>
        <v>소모품</v>
      </c>
      <c r="C30" s="77" t="str">
        <f>'2025 IS_Quarterly'!C30</f>
        <v>Consumable</v>
      </c>
      <c r="D30" s="78">
        <f t="shared" ref="D30" si="12">D31+D32</f>
        <v>26.496000000000002</v>
      </c>
      <c r="E30" s="79">
        <f>D30+'2025 IS_Quarterly'!E30</f>
        <v>52.561</v>
      </c>
      <c r="F30" s="79">
        <f>E30+'2025 IS_Quarterly'!F30</f>
        <v>78.569999999999993</v>
      </c>
      <c r="G30" s="80">
        <f>F30+'2025 IS_Quarterly'!G30</f>
        <v>113.30699999999999</v>
      </c>
      <c r="H30" s="78">
        <f>'2025 IS_Quarterly'!H30</f>
        <v>40.986000000000004</v>
      </c>
      <c r="I30" s="79">
        <f>H30+'2025 IS_Quarterly'!K30</f>
        <v>76.194000000000003</v>
      </c>
      <c r="J30" s="79">
        <f>I30+'2025 IS_Quarterly'!N30</f>
        <v>113.503</v>
      </c>
      <c r="K30" s="80"/>
    </row>
    <row r="31" spans="1:11" s="89" customFormat="1" ht="16.2" customHeight="1" x14ac:dyDescent="0.4">
      <c r="A31" s="156">
        <f t="shared" si="11"/>
        <v>6</v>
      </c>
      <c r="B31" s="83" t="str">
        <f>'2025 IS_Quarterly'!B31</f>
        <v>수출</v>
      </c>
      <c r="C31" s="84" t="str">
        <f>'2025 IS_Quarterly'!C31</f>
        <v>Global</v>
      </c>
      <c r="D31" s="286">
        <f>'2025 IS_Quarterly'!D31</f>
        <v>17.358000000000001</v>
      </c>
      <c r="E31" s="287">
        <f>D31+'2025 IS_Quarterly'!E31</f>
        <v>32.835999999999999</v>
      </c>
      <c r="F31" s="287">
        <f>E31+'2025 IS_Quarterly'!F31</f>
        <v>46.412999999999997</v>
      </c>
      <c r="G31" s="288">
        <f>F31+'2025 IS_Quarterly'!G31</f>
        <v>66.968999999999994</v>
      </c>
      <c r="H31" s="286">
        <f>'2025 IS_Quarterly'!H31</f>
        <v>26.067</v>
      </c>
      <c r="I31" s="287">
        <f>H31+'2025 IS_Quarterly'!K31</f>
        <v>46.194000000000003</v>
      </c>
      <c r="J31" s="287">
        <f>I31+'2025 IS_Quarterly'!N31</f>
        <v>67.733000000000004</v>
      </c>
      <c r="K31" s="288"/>
    </row>
    <row r="32" spans="1:11" s="89" customFormat="1" ht="16.2" customHeight="1" x14ac:dyDescent="0.4">
      <c r="A32" s="156">
        <f t="shared" si="11"/>
        <v>7</v>
      </c>
      <c r="B32" s="83" t="str">
        <f>'2025 IS_Quarterly'!B32</f>
        <v>내수</v>
      </c>
      <c r="C32" s="84" t="str">
        <f>'2025 IS_Quarterly'!C32</f>
        <v>Korea</v>
      </c>
      <c r="D32" s="286">
        <f>'2025 IS_Quarterly'!D32</f>
        <v>9.1379999999999999</v>
      </c>
      <c r="E32" s="287">
        <f>D32+'2025 IS_Quarterly'!E32</f>
        <v>19.725000000000001</v>
      </c>
      <c r="F32" s="287">
        <f>E32+'2025 IS_Quarterly'!F32</f>
        <v>32.157000000000004</v>
      </c>
      <c r="G32" s="288">
        <f>F32+'2025 IS_Quarterly'!G32</f>
        <v>46.338000000000001</v>
      </c>
      <c r="H32" s="286">
        <f>'2025 IS_Quarterly'!H32</f>
        <v>14.919</v>
      </c>
      <c r="I32" s="287">
        <f>H32+'2025 IS_Quarterly'!K32</f>
        <v>30</v>
      </c>
      <c r="J32" s="287">
        <f>I32+'2025 IS_Quarterly'!N32</f>
        <v>45.769999999999996</v>
      </c>
      <c r="K32" s="288"/>
    </row>
    <row r="33" spans="1:11" s="21" customFormat="1" ht="13.2" x14ac:dyDescent="0.4">
      <c r="A33" s="156">
        <f t="shared" si="11"/>
        <v>8</v>
      </c>
      <c r="B33" s="76" t="str">
        <f>'2025 IS_Quarterly'!B33</f>
        <v>홈케어</v>
      </c>
      <c r="C33" s="77" t="str">
        <f>'2025 IS_Quarterly'!C33</f>
        <v>Homecare</v>
      </c>
      <c r="D33" s="78">
        <f t="shared" ref="D33" si="13">D34+D35</f>
        <v>1.395</v>
      </c>
      <c r="E33" s="79">
        <f>D33+'2025 IS_Quarterly'!E33</f>
        <v>2.9089999999999998</v>
      </c>
      <c r="F33" s="79">
        <f>E33+'2025 IS_Quarterly'!F33</f>
        <v>3.3419999999999996</v>
      </c>
      <c r="G33" s="80">
        <f>F33+'2025 IS_Quarterly'!G33</f>
        <v>4.7259999999999991</v>
      </c>
      <c r="H33" s="78">
        <f>'2025 IS_Quarterly'!H33</f>
        <v>0.82400000000000007</v>
      </c>
      <c r="I33" s="79">
        <f>H33+'2025 IS_Quarterly'!K33</f>
        <v>3.2</v>
      </c>
      <c r="J33" s="79">
        <f>I33+'2025 IS_Quarterly'!N33</f>
        <v>5.7010000000000005</v>
      </c>
      <c r="K33" s="80"/>
    </row>
    <row r="34" spans="1:11" s="89" customFormat="1" ht="16.2" customHeight="1" x14ac:dyDescent="0.4">
      <c r="A34" s="156">
        <f t="shared" si="11"/>
        <v>9</v>
      </c>
      <c r="B34" s="83" t="str">
        <f>'2025 IS_Quarterly'!B34</f>
        <v>수출</v>
      </c>
      <c r="C34" s="84" t="str">
        <f>'2025 IS_Quarterly'!C34</f>
        <v>Global</v>
      </c>
      <c r="D34" s="286">
        <f>'2025 IS_Quarterly'!D34</f>
        <v>0.69899999999999995</v>
      </c>
      <c r="E34" s="287">
        <f>D34+'2025 IS_Quarterly'!E34</f>
        <v>1.294</v>
      </c>
      <c r="F34" s="287">
        <f>E34+'2025 IS_Quarterly'!F34</f>
        <v>1.45</v>
      </c>
      <c r="G34" s="288">
        <f>F34+'2025 IS_Quarterly'!G34</f>
        <v>1.7189999999999999</v>
      </c>
      <c r="H34" s="286">
        <f>'2025 IS_Quarterly'!H34</f>
        <v>0.56200000000000006</v>
      </c>
      <c r="I34" s="287">
        <f>H34+'2025 IS_Quarterly'!K34</f>
        <v>0.97100000000000009</v>
      </c>
      <c r="J34" s="287">
        <f>I34+'2025 IS_Quarterly'!N34</f>
        <v>1.0880000000000001</v>
      </c>
      <c r="K34" s="288"/>
    </row>
    <row r="35" spans="1:11" s="89" customFormat="1" ht="16.2" customHeight="1" x14ac:dyDescent="0.4">
      <c r="A35" s="156">
        <f t="shared" si="11"/>
        <v>10</v>
      </c>
      <c r="B35" s="83" t="str">
        <f>'2025 IS_Quarterly'!B35</f>
        <v>내수</v>
      </c>
      <c r="C35" s="84" t="str">
        <f>'2025 IS_Quarterly'!C35</f>
        <v>Korea</v>
      </c>
      <c r="D35" s="286">
        <f>'2025 IS_Quarterly'!D35</f>
        <v>0.69599999999999995</v>
      </c>
      <c r="E35" s="287">
        <f>D35+'2025 IS_Quarterly'!E35</f>
        <v>1.615</v>
      </c>
      <c r="F35" s="287">
        <f>E35+'2025 IS_Quarterly'!F35</f>
        <v>1.8919999999999999</v>
      </c>
      <c r="G35" s="288">
        <f>F35+'2025 IS_Quarterly'!G35</f>
        <v>3.0069999999999997</v>
      </c>
      <c r="H35" s="286">
        <f>'2025 IS_Quarterly'!H35</f>
        <v>0.26200000000000001</v>
      </c>
      <c r="I35" s="287">
        <f>H35+'2025 IS_Quarterly'!K35</f>
        <v>2.2290000000000001</v>
      </c>
      <c r="J35" s="287">
        <f>I35+'2025 IS_Quarterly'!N35</f>
        <v>4.6129999999999995</v>
      </c>
      <c r="K35" s="288"/>
    </row>
    <row r="36" spans="1:11" s="21" customFormat="1" ht="16.2" customHeight="1" x14ac:dyDescent="0.4">
      <c r="A36" s="156">
        <f t="shared" si="11"/>
        <v>11</v>
      </c>
      <c r="B36" s="76" t="str">
        <f>'2025 IS_Quarterly'!B36</f>
        <v>임대료</v>
      </c>
      <c r="C36" s="77" t="str">
        <f>'2025 IS_Quarterly'!C36</f>
        <v>Rentals</v>
      </c>
      <c r="D36" s="78">
        <f>'2025 IS_Quarterly'!D36</f>
        <v>0.29199999999999998</v>
      </c>
      <c r="E36" s="79">
        <f>D36+'2025 IS_Quarterly'!E36</f>
        <v>0.55600000000000005</v>
      </c>
      <c r="F36" s="79">
        <f>E36+'2025 IS_Quarterly'!F36</f>
        <v>0.79200000000000004</v>
      </c>
      <c r="G36" s="80">
        <f>F36+'2025 IS_Quarterly'!G36</f>
        <v>1.0117670000000001</v>
      </c>
      <c r="H36" s="78">
        <f>'2025 IS_Quarterly'!H36</f>
        <v>0.23599999999999999</v>
      </c>
      <c r="I36" s="79">
        <f>H36+'2025 IS_Quarterly'!K36</f>
        <v>0.44599999999999995</v>
      </c>
      <c r="J36" s="79">
        <f>I36+'2025 IS_Quarterly'!N36</f>
        <v>0.69</v>
      </c>
      <c r="K36" s="80"/>
    </row>
    <row r="37" spans="1:11" s="50" customFormat="1" ht="16.2" customHeight="1" x14ac:dyDescent="0.4">
      <c r="A37" s="156">
        <f t="shared" si="11"/>
        <v>12</v>
      </c>
      <c r="B37" s="90" t="str">
        <f>'2025 IS_Quarterly'!B37</f>
        <v>총계</v>
      </c>
      <c r="C37" s="91" t="str">
        <f>'2025 IS_Quarterly'!C37</f>
        <v>Total</v>
      </c>
      <c r="D37" s="291">
        <f>D38+D39</f>
        <v>50.379000000000005</v>
      </c>
      <c r="E37" s="292">
        <f>D37+'2025 IS_Quarterly'!E37</f>
        <v>109.12</v>
      </c>
      <c r="F37" s="292">
        <f>E37+'2025 IS_Quarterly'!F37</f>
        <v>168.53200000000001</v>
      </c>
      <c r="G37" s="293">
        <f>F37+'2025 IS_Quarterly'!G37</f>
        <v>242.935767</v>
      </c>
      <c r="H37" s="291">
        <f>'2025 IS_Quarterly'!H37</f>
        <v>77.113</v>
      </c>
      <c r="I37" s="292">
        <f>H37+'2025 IS_Quarterly'!K37</f>
        <v>160.39699999999999</v>
      </c>
      <c r="J37" s="292">
        <f>I37+'2025 IS_Quarterly'!N37</f>
        <v>243.398</v>
      </c>
      <c r="K37" s="293"/>
    </row>
    <row r="38" spans="1:11" s="89" customFormat="1" ht="16.2" customHeight="1" x14ac:dyDescent="0.4">
      <c r="A38" s="156">
        <f t="shared" si="11"/>
        <v>13</v>
      </c>
      <c r="B38" s="83" t="str">
        <f>'2025 IS_Quarterly'!B38</f>
        <v>수출</v>
      </c>
      <c r="C38" s="84" t="str">
        <f>'2025 IS_Quarterly'!C38</f>
        <v>Global</v>
      </c>
      <c r="D38" s="286">
        <f>D28+D31+D34</f>
        <v>33.65</v>
      </c>
      <c r="E38" s="287">
        <f>D38+'2025 IS_Quarterly'!E38</f>
        <v>73.968999999999994</v>
      </c>
      <c r="F38" s="287">
        <f>E38+'2025 IS_Quarterly'!F38</f>
        <v>114.19299999999998</v>
      </c>
      <c r="G38" s="288">
        <f>F38+'2025 IS_Quarterly'!G38</f>
        <v>163.577</v>
      </c>
      <c r="H38" s="286">
        <f>'2025 IS_Quarterly'!H38</f>
        <v>52.533000000000001</v>
      </c>
      <c r="I38" s="287">
        <f>H38+'2025 IS_Quarterly'!K38</f>
        <v>105.929</v>
      </c>
      <c r="J38" s="287">
        <f>I38+'2025 IS_Quarterly'!N38</f>
        <v>158.923</v>
      </c>
      <c r="K38" s="288"/>
    </row>
    <row r="39" spans="1:11" ht="16.2" customHeight="1" thickBot="1" x14ac:dyDescent="0.45">
      <c r="A39" s="156">
        <f t="shared" si="11"/>
        <v>14</v>
      </c>
      <c r="B39" s="83" t="str">
        <f>'2025 IS_Quarterly'!B39</f>
        <v>내수</v>
      </c>
      <c r="C39" s="84" t="str">
        <f>'2025 IS_Quarterly'!C39</f>
        <v>Korea</v>
      </c>
      <c r="D39" s="299">
        <f>D29+D32+D35+D36</f>
        <v>16.729000000000003</v>
      </c>
      <c r="E39" s="300">
        <f>D39+'2025 IS_Quarterly'!E39</f>
        <v>35.151000000000003</v>
      </c>
      <c r="F39" s="300">
        <f>E39+'2025 IS_Quarterly'!F39</f>
        <v>54.339000000000006</v>
      </c>
      <c r="G39" s="301">
        <f>F39+'2025 IS_Quarterly'!G39</f>
        <v>79.358767</v>
      </c>
      <c r="H39" s="299">
        <f>'2025 IS_Quarterly'!H39</f>
        <v>24.580000000000002</v>
      </c>
      <c r="I39" s="300">
        <f>H39+'2025 IS_Quarterly'!K39</f>
        <v>54.468000000000004</v>
      </c>
      <c r="J39" s="300">
        <f>I39+'2025 IS_Quarterly'!N39</f>
        <v>84.474999999999994</v>
      </c>
      <c r="K39" s="301"/>
    </row>
    <row r="40" spans="1:11" ht="16.2" customHeight="1" thickBot="1" x14ac:dyDescent="0.45">
      <c r="A40" s="156">
        <f t="shared" si="11"/>
        <v>15</v>
      </c>
      <c r="B40" s="145" t="str">
        <f>'2025 IS_Quarterly'!B40</f>
        <v>브라질</v>
      </c>
      <c r="C40" s="146" t="str">
        <f>'2025 IS_Quarterly'!C40</f>
        <v>Brazil</v>
      </c>
      <c r="D40" s="307">
        <f>'2025 IS_Quarterly'!D40</f>
        <v>11.423</v>
      </c>
      <c r="E40" s="308">
        <f>D40+'2025 IS_Quarterly'!E40</f>
        <v>23.170999999999999</v>
      </c>
      <c r="F40" s="308">
        <f>E40+'2025 IS_Quarterly'!F40</f>
        <v>36.963999999999999</v>
      </c>
      <c r="G40" s="309">
        <f>F40+'2025 IS_Quarterly'!G40</f>
        <v>46.938000000000002</v>
      </c>
      <c r="H40" s="307">
        <f>'2025 IS_Quarterly'!H40</f>
        <v>11.808999999999999</v>
      </c>
      <c r="I40" s="308">
        <f>H40+'2025 IS_Quarterly'!K40</f>
        <v>16.355999999999998</v>
      </c>
      <c r="J40" s="909" t="s">
        <v>444</v>
      </c>
      <c r="K40" s="309"/>
    </row>
    <row r="41" spans="1:11" ht="16.2" customHeight="1" thickBot="1" x14ac:dyDescent="0.45">
      <c r="A41" s="156">
        <f t="shared" si="11"/>
        <v>16</v>
      </c>
      <c r="B41" s="145"/>
      <c r="C41" s="146"/>
      <c r="D41" s="307"/>
      <c r="E41" s="308"/>
      <c r="F41" s="308"/>
      <c r="G41" s="309"/>
      <c r="H41" s="307"/>
      <c r="I41" s="308"/>
      <c r="J41" s="308"/>
      <c r="K41" s="309"/>
    </row>
    <row r="42" spans="1:11" s="42" customFormat="1" ht="16.2" customHeight="1" x14ac:dyDescent="0.4">
      <c r="A42" s="156"/>
      <c r="B42" s="150" t="s">
        <v>233</v>
      </c>
      <c r="C42" s="94"/>
      <c r="D42" s="315" t="b">
        <f t="shared" ref="D42:J42" si="14">ROUND(D37,1)=ROUND(D4,1)</f>
        <v>1</v>
      </c>
      <c r="E42" s="315" t="b">
        <f t="shared" si="14"/>
        <v>1</v>
      </c>
      <c r="F42" s="315" t="b">
        <f t="shared" si="14"/>
        <v>1</v>
      </c>
      <c r="G42" s="315" t="b">
        <f t="shared" si="14"/>
        <v>1</v>
      </c>
      <c r="H42" s="315" t="b">
        <f t="shared" si="14"/>
        <v>1</v>
      </c>
      <c r="I42" s="315" t="b">
        <f t="shared" si="14"/>
        <v>1</v>
      </c>
      <c r="J42" s="315" t="b">
        <f t="shared" si="14"/>
        <v>1</v>
      </c>
      <c r="K42" s="315"/>
    </row>
    <row r="43" spans="1:11" s="45" customFormat="1" ht="13.8" thickBot="1" x14ac:dyDescent="0.45">
      <c r="A43" s="157"/>
      <c r="B43" s="43" t="s">
        <v>203</v>
      </c>
      <c r="C43" s="44"/>
      <c r="D43" s="207">
        <v>2024</v>
      </c>
      <c r="E43" s="207">
        <v>2024</v>
      </c>
      <c r="F43" s="207">
        <v>2024</v>
      </c>
      <c r="G43" s="207">
        <v>2024</v>
      </c>
      <c r="H43" s="207" t="s">
        <v>254</v>
      </c>
      <c r="I43" s="207"/>
      <c r="J43" s="207"/>
      <c r="K43" s="207"/>
    </row>
    <row r="44" spans="1:11" s="41" customFormat="1" ht="16.2" customHeight="1" x14ac:dyDescent="0.4">
      <c r="A44" s="159"/>
      <c r="B44" s="46" t="str">
        <f>'2025 IS_Quarterly'!B44</f>
        <v>(단위 : %)</v>
      </c>
      <c r="C44" s="197" t="str">
        <f>'2025 IS_Quarterly'!C44</f>
        <v>(Unit: %)</v>
      </c>
      <c r="D44" s="279" t="str">
        <f t="shared" ref="D44:I44" si="15">D26</f>
        <v>1Q24</v>
      </c>
      <c r="E44" s="281" t="str">
        <f t="shared" si="15"/>
        <v>2Q24 YTD</v>
      </c>
      <c r="F44" s="281" t="str">
        <f t="shared" si="15"/>
        <v>3Q24 YTD</v>
      </c>
      <c r="G44" s="317" t="str">
        <f t="shared" si="15"/>
        <v>4Q24 YTD</v>
      </c>
      <c r="H44" s="279" t="str">
        <f t="shared" si="15"/>
        <v>1Q25</v>
      </c>
      <c r="I44" s="281" t="str">
        <f t="shared" si="15"/>
        <v>2Q25 YTD</v>
      </c>
      <c r="J44" s="281"/>
      <c r="K44" s="317"/>
    </row>
    <row r="45" spans="1:11" s="21" customFormat="1" ht="16.2" customHeight="1" x14ac:dyDescent="0.4">
      <c r="A45" s="157"/>
      <c r="B45" s="76" t="str">
        <f>'2025 IS_Quarterly'!B45</f>
        <v>장비</v>
      </c>
      <c r="C45" s="77" t="str">
        <f>'2025 IS_Quarterly'!C45</f>
        <v>Device</v>
      </c>
      <c r="D45" s="96">
        <f t="shared" ref="D45:H48" si="16">IFERROR(D27/D$37,"")</f>
        <v>0.44058040056372688</v>
      </c>
      <c r="E45" s="97">
        <f t="shared" si="16"/>
        <v>0.48656524926686212</v>
      </c>
      <c r="F45" s="97">
        <f t="shared" si="16"/>
        <v>0.50926826952744875</v>
      </c>
      <c r="G45" s="98">
        <f t="shared" si="16"/>
        <v>0.50997430938195287</v>
      </c>
      <c r="H45" s="96">
        <f t="shared" si="16"/>
        <v>0.45474822662845438</v>
      </c>
      <c r="I45" s="97">
        <f t="shared" ref="I45:J45" si="17">IFERROR(I27/I$37,"")</f>
        <v>0.502235079209711</v>
      </c>
      <c r="J45" s="97">
        <f t="shared" si="17"/>
        <v>0.50741583743498309</v>
      </c>
      <c r="K45" s="98"/>
    </row>
    <row r="46" spans="1:11" s="101" customFormat="1" ht="16.2" customHeight="1" x14ac:dyDescent="0.4">
      <c r="A46" s="160"/>
      <c r="B46" s="83" t="str">
        <f>'2025 IS_Quarterly'!B46</f>
        <v>수출</v>
      </c>
      <c r="C46" s="84" t="str">
        <f>'2025 IS_Quarterly'!C46</f>
        <v>Global</v>
      </c>
      <c r="D46" s="318">
        <f t="shared" si="16"/>
        <v>0.30951388475356795</v>
      </c>
      <c r="E46" s="319">
        <f t="shared" si="16"/>
        <v>0.36509347507331374</v>
      </c>
      <c r="F46" s="319">
        <f t="shared" si="16"/>
        <v>0.39357510739800156</v>
      </c>
      <c r="G46" s="320">
        <f t="shared" si="16"/>
        <v>0.39059295867289889</v>
      </c>
      <c r="H46" s="318">
        <f t="shared" si="16"/>
        <v>0.33592260708311178</v>
      </c>
      <c r="I46" s="319">
        <f t="shared" ref="I46:J46" si="18">IFERROR(I28/I$37,"")</f>
        <v>0.36636595447545778</v>
      </c>
      <c r="J46" s="319">
        <f t="shared" si="18"/>
        <v>0.37018381416445495</v>
      </c>
      <c r="K46" s="320"/>
    </row>
    <row r="47" spans="1:11" s="101" customFormat="1" ht="16.2" customHeight="1" x14ac:dyDescent="0.4">
      <c r="A47" s="160"/>
      <c r="B47" s="83" t="str">
        <f>'2025 IS_Quarterly'!B47</f>
        <v>내수</v>
      </c>
      <c r="C47" s="84" t="str">
        <f>'2025 IS_Quarterly'!C47</f>
        <v>Korea</v>
      </c>
      <c r="D47" s="318">
        <f t="shared" si="16"/>
        <v>0.13106651581015899</v>
      </c>
      <c r="E47" s="319">
        <f t="shared" si="16"/>
        <v>0.12147177419354838</v>
      </c>
      <c r="F47" s="319">
        <f t="shared" si="16"/>
        <v>0.11569316212944721</v>
      </c>
      <c r="G47" s="320">
        <f t="shared" si="16"/>
        <v>0.11938135070905387</v>
      </c>
      <c r="H47" s="318">
        <f t="shared" si="16"/>
        <v>0.11882561954534256</v>
      </c>
      <c r="I47" s="319">
        <f t="shared" ref="I47:J47" si="19">IFERROR(I29/I$37,"")</f>
        <v>0.13586912473425314</v>
      </c>
      <c r="J47" s="319">
        <f t="shared" si="19"/>
        <v>0.13723202327052811</v>
      </c>
      <c r="K47" s="320"/>
    </row>
    <row r="48" spans="1:11" s="21" customFormat="1" ht="16.2" customHeight="1" x14ac:dyDescent="0.4">
      <c r="A48" s="157"/>
      <c r="B48" s="76" t="str">
        <f>'2025 IS_Quarterly'!B48</f>
        <v>소모품</v>
      </c>
      <c r="C48" s="77" t="str">
        <f>'2025 IS_Quarterly'!C48</f>
        <v>Consumable</v>
      </c>
      <c r="D48" s="96">
        <f>IFERROR(D30/D$37,"")</f>
        <v>0.5259334246412195</v>
      </c>
      <c r="E48" s="97">
        <f t="shared" si="16"/>
        <v>0.48168071847507327</v>
      </c>
      <c r="F48" s="97">
        <f t="shared" si="16"/>
        <v>0.46620226425841971</v>
      </c>
      <c r="G48" s="98">
        <f t="shared" si="16"/>
        <v>0.46640723759708874</v>
      </c>
      <c r="H48" s="96">
        <f t="shared" si="16"/>
        <v>0.53150571239609412</v>
      </c>
      <c r="I48" s="97">
        <f t="shared" ref="I48:J48" si="20">IFERROR(I30/I$37,"")</f>
        <v>0.47503382232834784</v>
      </c>
      <c r="J48" s="97">
        <f t="shared" si="20"/>
        <v>0.46632675699882498</v>
      </c>
      <c r="K48" s="98"/>
    </row>
    <row r="49" spans="1:11" s="101" customFormat="1" ht="16.2" customHeight="1" x14ac:dyDescent="0.4">
      <c r="A49" s="160"/>
      <c r="B49" s="83" t="str">
        <f>'2025 IS_Quarterly'!B49</f>
        <v>수출</v>
      </c>
      <c r="C49" s="84" t="str">
        <f>'2025 IS_Quarterly'!C49</f>
        <v>Global</v>
      </c>
      <c r="D49" s="318">
        <f t="shared" ref="D49:H58" si="21">IFERROR(D31/D$37,"")</f>
        <v>0.34454832370630617</v>
      </c>
      <c r="E49" s="319">
        <f t="shared" si="21"/>
        <v>0.30091642228739002</v>
      </c>
      <c r="F49" s="319">
        <f t="shared" si="21"/>
        <v>0.27539577053615927</v>
      </c>
      <c r="G49" s="320">
        <f t="shared" si="21"/>
        <v>0.27566546016256221</v>
      </c>
      <c r="H49" s="318">
        <f t="shared" si="21"/>
        <v>0.33803638815763881</v>
      </c>
      <c r="I49" s="319">
        <f t="shared" ref="I49:J49" si="22">IFERROR(I31/I$37,"")</f>
        <v>0.28799790519772817</v>
      </c>
      <c r="J49" s="319">
        <f t="shared" si="22"/>
        <v>0.27828084043418599</v>
      </c>
      <c r="K49" s="320"/>
    </row>
    <row r="50" spans="1:11" s="101" customFormat="1" ht="16.2" customHeight="1" x14ac:dyDescent="0.4">
      <c r="A50" s="160"/>
      <c r="B50" s="83" t="str">
        <f>'2025 IS_Quarterly'!B50</f>
        <v>내수</v>
      </c>
      <c r="C50" s="84" t="str">
        <f>'2025 IS_Quarterly'!C50</f>
        <v>Korea</v>
      </c>
      <c r="D50" s="318">
        <f t="shared" si="21"/>
        <v>0.18138510093491333</v>
      </c>
      <c r="E50" s="319">
        <f t="shared" si="21"/>
        <v>0.18076429618768328</v>
      </c>
      <c r="F50" s="319">
        <f t="shared" si="21"/>
        <v>0.19080649372226047</v>
      </c>
      <c r="G50" s="320">
        <f t="shared" si="21"/>
        <v>0.19074177743452655</v>
      </c>
      <c r="H50" s="318">
        <f t="shared" si="21"/>
        <v>0.19346932423845525</v>
      </c>
      <c r="I50" s="319">
        <f t="shared" ref="I50:J50" si="23">IFERROR(I32/I$37,"")</f>
        <v>0.18703591713061965</v>
      </c>
      <c r="J50" s="319">
        <f t="shared" si="23"/>
        <v>0.18804591656463898</v>
      </c>
      <c r="K50" s="320"/>
    </row>
    <row r="51" spans="1:11" s="21" customFormat="1" ht="13.2" x14ac:dyDescent="0.4">
      <c r="A51" s="157"/>
      <c r="B51" s="76" t="str">
        <f>'2025 IS_Quarterly'!B51</f>
        <v>홈케어</v>
      </c>
      <c r="C51" s="77" t="str">
        <f>'2025 IS_Quarterly'!C51</f>
        <v>Shurink RX/SKEDERM</v>
      </c>
      <c r="D51" s="96">
        <f t="shared" si="21"/>
        <v>2.7690108973977251E-2</v>
      </c>
      <c r="E51" s="97">
        <f t="shared" si="21"/>
        <v>2.6658724340175952E-2</v>
      </c>
      <c r="F51" s="97">
        <f t="shared" si="21"/>
        <v>1.9830061946692613E-2</v>
      </c>
      <c r="G51" s="98">
        <f t="shared" si="21"/>
        <v>1.9453701932659422E-2</v>
      </c>
      <c r="H51" s="96">
        <f t="shared" si="21"/>
        <v>1.068561721110578E-2</v>
      </c>
      <c r="I51" s="97">
        <f t="shared" ref="I51:J51" si="24">IFERROR(I33/I$37,"")</f>
        <v>1.9950497827266097E-2</v>
      </c>
      <c r="J51" s="97">
        <f t="shared" si="24"/>
        <v>2.3422542502403474E-2</v>
      </c>
      <c r="K51" s="98"/>
    </row>
    <row r="52" spans="1:11" s="101" customFormat="1" ht="16.2" customHeight="1" x14ac:dyDescent="0.4">
      <c r="A52" s="160"/>
      <c r="B52" s="83" t="str">
        <f>'2025 IS_Quarterly'!B52</f>
        <v>수출</v>
      </c>
      <c r="C52" s="84" t="str">
        <f>'2025 IS_Quarterly'!C52</f>
        <v>Global</v>
      </c>
      <c r="D52" s="318">
        <f t="shared" si="21"/>
        <v>1.387482879771333E-2</v>
      </c>
      <c r="E52" s="319">
        <f t="shared" si="21"/>
        <v>1.1858504398826979E-2</v>
      </c>
      <c r="F52" s="319">
        <f t="shared" si="21"/>
        <v>8.6037073078109785E-3</v>
      </c>
      <c r="G52" s="320">
        <f t="shared" si="21"/>
        <v>7.0759444820654993E-3</v>
      </c>
      <c r="H52" s="318">
        <f t="shared" si="21"/>
        <v>7.2880059133998169E-3</v>
      </c>
      <c r="I52" s="319">
        <f t="shared" ref="I52:J52" si="25">IFERROR(I34/I$37,"")</f>
        <v>6.0537291844610566E-3</v>
      </c>
      <c r="J52" s="319">
        <f t="shared" si="25"/>
        <v>4.470044946959302E-3</v>
      </c>
      <c r="K52" s="320"/>
    </row>
    <row r="53" spans="1:11" s="101" customFormat="1" ht="16.2" customHeight="1" x14ac:dyDescent="0.4">
      <c r="A53" s="160"/>
      <c r="B53" s="83" t="str">
        <f>'2025 IS_Quarterly'!B53</f>
        <v>내수</v>
      </c>
      <c r="C53" s="84" t="str">
        <f>'2025 IS_Quarterly'!C53</f>
        <v>Korea</v>
      </c>
      <c r="D53" s="318">
        <f t="shared" si="21"/>
        <v>1.3815280176263918E-2</v>
      </c>
      <c r="E53" s="319">
        <f t="shared" si="21"/>
        <v>1.4800219941348973E-2</v>
      </c>
      <c r="F53" s="319">
        <f t="shared" si="21"/>
        <v>1.1226354638881636E-2</v>
      </c>
      <c r="G53" s="320">
        <f t="shared" si="21"/>
        <v>1.2377757450593925E-2</v>
      </c>
      <c r="H53" s="318">
        <f t="shared" si="21"/>
        <v>3.3976112977059641E-3</v>
      </c>
      <c r="I53" s="319">
        <f t="shared" ref="I53:J53" si="26">IFERROR(I35/I$37,"")</f>
        <v>1.3896768642805042E-2</v>
      </c>
      <c r="J53" s="319">
        <f t="shared" si="26"/>
        <v>1.8952497555444169E-2</v>
      </c>
      <c r="K53" s="320"/>
    </row>
    <row r="54" spans="1:11" s="21" customFormat="1" ht="16.2" customHeight="1" x14ac:dyDescent="0.4">
      <c r="A54" s="157"/>
      <c r="B54" s="76" t="str">
        <f>'2025 IS_Quarterly'!B54</f>
        <v>임대료</v>
      </c>
      <c r="C54" s="77" t="str">
        <f>'2025 IS_Quarterly'!C54</f>
        <v>Rentals</v>
      </c>
      <c r="D54" s="96">
        <f t="shared" si="21"/>
        <v>5.7960658210762413E-3</v>
      </c>
      <c r="E54" s="97">
        <f t="shared" si="21"/>
        <v>5.0953079178885632E-3</v>
      </c>
      <c r="F54" s="97">
        <f t="shared" si="21"/>
        <v>4.6994042674388245E-3</v>
      </c>
      <c r="G54" s="98">
        <f t="shared" si="21"/>
        <v>4.1647510882989909E-3</v>
      </c>
      <c r="H54" s="96">
        <f t="shared" si="21"/>
        <v>3.06044376434583E-3</v>
      </c>
      <c r="I54" s="97">
        <f t="shared" ref="I54:J54" si="27">IFERROR(I36/I$37,"")</f>
        <v>2.780600634675212E-3</v>
      </c>
      <c r="J54" s="97">
        <f t="shared" si="27"/>
        <v>2.8348630637885274E-3</v>
      </c>
      <c r="K54" s="98"/>
    </row>
    <row r="55" spans="1:11" s="153" customFormat="1" ht="16.2" customHeight="1" x14ac:dyDescent="0.4">
      <c r="A55" s="161"/>
      <c r="B55" s="151" t="str">
        <f>'2025 IS_Quarterly'!B55</f>
        <v>총계</v>
      </c>
      <c r="C55" s="152" t="str">
        <f>'2025 IS_Quarterly'!C55</f>
        <v>Total</v>
      </c>
      <c r="D55" s="323">
        <f t="shared" si="21"/>
        <v>1</v>
      </c>
      <c r="E55" s="324">
        <f t="shared" si="21"/>
        <v>1</v>
      </c>
      <c r="F55" s="324">
        <f t="shared" si="21"/>
        <v>1</v>
      </c>
      <c r="G55" s="325">
        <f t="shared" si="21"/>
        <v>1</v>
      </c>
      <c r="H55" s="323">
        <f t="shared" si="21"/>
        <v>1</v>
      </c>
      <c r="I55" s="324">
        <f t="shared" ref="I55:J55" si="28">IFERROR(I37/I$37,"")</f>
        <v>1</v>
      </c>
      <c r="J55" s="324">
        <f t="shared" si="28"/>
        <v>1</v>
      </c>
      <c r="K55" s="325"/>
    </row>
    <row r="56" spans="1:11" s="101" customFormat="1" ht="16.2" customHeight="1" x14ac:dyDescent="0.4">
      <c r="A56" s="160"/>
      <c r="B56" s="83" t="str">
        <f>'2025 IS_Quarterly'!B56</f>
        <v>수출</v>
      </c>
      <c r="C56" s="84" t="str">
        <f>'2025 IS_Quarterly'!C56</f>
        <v>Global</v>
      </c>
      <c r="D56" s="318">
        <f t="shared" si="21"/>
        <v>0.66793703725758735</v>
      </c>
      <c r="E56" s="319">
        <f t="shared" si="21"/>
        <v>0.67786840175953067</v>
      </c>
      <c r="F56" s="319">
        <f t="shared" si="21"/>
        <v>0.67757458524197167</v>
      </c>
      <c r="G56" s="320">
        <f t="shared" si="21"/>
        <v>0.67333436331752661</v>
      </c>
      <c r="H56" s="318">
        <f t="shared" si="21"/>
        <v>0.68124700115415038</v>
      </c>
      <c r="I56" s="319">
        <f t="shared" ref="I56:J56" si="29">IFERROR(I38/I$37,"")</f>
        <v>0.66041758885764701</v>
      </c>
      <c r="J56" s="319">
        <f t="shared" si="29"/>
        <v>0.65293469954560024</v>
      </c>
      <c r="K56" s="320"/>
    </row>
    <row r="57" spans="1:11" s="102" customFormat="1" ht="16.2" customHeight="1" thickBot="1" x14ac:dyDescent="0.45">
      <c r="A57" s="160"/>
      <c r="B57" s="83" t="str">
        <f>'2025 IS_Quarterly'!B57</f>
        <v>내수</v>
      </c>
      <c r="C57" s="84" t="str">
        <f>'2025 IS_Quarterly'!C57</f>
        <v>Korea</v>
      </c>
      <c r="D57" s="318">
        <f t="shared" si="21"/>
        <v>0.33206296274241254</v>
      </c>
      <c r="E57" s="319">
        <f t="shared" si="21"/>
        <v>0.32213159824046922</v>
      </c>
      <c r="F57" s="319">
        <f t="shared" si="21"/>
        <v>0.32242541475802816</v>
      </c>
      <c r="G57" s="320">
        <f t="shared" si="21"/>
        <v>0.32666563668247334</v>
      </c>
      <c r="H57" s="318">
        <f t="shared" si="21"/>
        <v>0.31875299884584962</v>
      </c>
      <c r="I57" s="319">
        <f t="shared" ref="I57:J57" si="30">IFERROR(I39/I$37,"")</f>
        <v>0.3395824111423531</v>
      </c>
      <c r="J57" s="319">
        <f t="shared" si="30"/>
        <v>0.34706530045439976</v>
      </c>
      <c r="K57" s="320"/>
    </row>
    <row r="58" spans="1:11" s="144" customFormat="1" ht="16.2" customHeight="1" thickBot="1" x14ac:dyDescent="0.45">
      <c r="A58" s="162"/>
      <c r="B58" s="145" t="str">
        <f>'2025 IS_Quarterly'!B58</f>
        <v>브라질</v>
      </c>
      <c r="C58" s="146" t="str">
        <f>'2025 IS_Quarterly'!C58</f>
        <v>Brazil</v>
      </c>
      <c r="D58" s="538">
        <f t="shared" si="21"/>
        <v>0.22674130093888326</v>
      </c>
      <c r="E58" s="539">
        <f t="shared" si="21"/>
        <v>0.21234420821114369</v>
      </c>
      <c r="F58" s="539">
        <f t="shared" si="21"/>
        <v>0.21932926684546553</v>
      </c>
      <c r="G58" s="540">
        <f t="shared" si="21"/>
        <v>0.19321156608446216</v>
      </c>
      <c r="H58" s="538">
        <f t="shared" si="21"/>
        <v>0.15313890005576231</v>
      </c>
      <c r="I58" s="539">
        <f t="shared" ref="I58:J58" si="31">IFERROR(I40/I$37,"")</f>
        <v>0.10197198201961383</v>
      </c>
      <c r="J58" s="539" t="str">
        <f t="shared" si="31"/>
        <v/>
      </c>
      <c r="K58" s="540"/>
    </row>
    <row r="62" spans="1:11" ht="16.2" customHeight="1" x14ac:dyDescent="0.4">
      <c r="B62" s="856" t="str">
        <f>'2025 IS_Quarterly'!B62</f>
        <v>(단위 : 백만원)</v>
      </c>
      <c r="C62" s="857" t="str">
        <f>'2025 IS_Quarterly'!C62</f>
        <v>(Unit: Million KRW)</v>
      </c>
      <c r="D62" s="898" t="s">
        <v>271</v>
      </c>
      <c r="E62" s="898" t="s">
        <v>491</v>
      </c>
      <c r="F62" s="898" t="s">
        <v>492</v>
      </c>
      <c r="G62" s="873" t="s">
        <v>493</v>
      </c>
      <c r="H62" s="898" t="s">
        <v>494</v>
      </c>
      <c r="I62" s="873" t="s">
        <v>495</v>
      </c>
      <c r="J62" s="873" t="s">
        <v>496</v>
      </c>
    </row>
    <row r="63" spans="1:11" ht="16.2" customHeight="1" x14ac:dyDescent="0.4">
      <c r="B63" s="850" t="str">
        <f>'2025 IS_Quarterly'!B63</f>
        <v>영업외수익 - 금융수익</v>
      </c>
      <c r="C63" s="895" t="str">
        <f>'2025 IS_Quarterly'!C63</f>
        <v>Financial  Income</v>
      </c>
      <c r="D63" s="805">
        <f>+SUM(D64:D67)</f>
        <v>6485</v>
      </c>
      <c r="E63" s="805">
        <f t="shared" ref="E63:J63" si="32">+SUM(E64:E67)</f>
        <v>11339</v>
      </c>
      <c r="F63" s="805">
        <f t="shared" si="32"/>
        <v>8279</v>
      </c>
      <c r="G63" s="801">
        <f t="shared" si="32"/>
        <v>24212</v>
      </c>
      <c r="H63" s="805">
        <f t="shared" si="32"/>
        <v>2137</v>
      </c>
      <c r="I63" s="801">
        <f t="shared" si="32"/>
        <v>3155</v>
      </c>
      <c r="J63" s="801">
        <f t="shared" si="32"/>
        <v>5401</v>
      </c>
    </row>
    <row r="64" spans="1:11" ht="16.2" customHeight="1" x14ac:dyDescent="0.4">
      <c r="B64" s="854" t="str">
        <f>'2025 IS_Quarterly'!B64</f>
        <v>이자수익</v>
      </c>
      <c r="C64" s="875" t="str">
        <f>'2025 IS_Quarterly'!C64</f>
        <v>Interest Income</v>
      </c>
      <c r="D64" s="808">
        <f>'2025 IS_Quarterly'!D64</f>
        <v>1340</v>
      </c>
      <c r="E64" s="808">
        <f>D64+'2025 IS_Quarterly'!E64</f>
        <v>2491</v>
      </c>
      <c r="F64" s="808">
        <f>E64+'2025 IS_Quarterly'!F64</f>
        <v>3652</v>
      </c>
      <c r="G64" s="799">
        <f>F64+'2025 IS_Quarterly'!G64</f>
        <v>4801</v>
      </c>
      <c r="H64" s="808">
        <f>'2025 IS_Quarterly'!H64</f>
        <v>1327</v>
      </c>
      <c r="I64" s="799">
        <f>H64+'2025 IS_Quarterly'!K64</f>
        <v>2538</v>
      </c>
      <c r="J64" s="799">
        <f>I64+'2025 IS_Quarterly'!N64</f>
        <v>3822</v>
      </c>
    </row>
    <row r="65" spans="2:10" ht="16.2" customHeight="1" x14ac:dyDescent="0.4">
      <c r="B65" s="854" t="str">
        <f>'2025 IS_Quarterly'!B65</f>
        <v>금융자산평가이익</v>
      </c>
      <c r="C65" s="875" t="str">
        <f>'2025 IS_Quarterly'!C65</f>
        <v>Gain on Valuation of Financial Assets</v>
      </c>
      <c r="D65" s="808">
        <f>'2025 IS_Quarterly'!D65</f>
        <v>315</v>
      </c>
      <c r="E65" s="808">
        <f>D65+'2025 IS_Quarterly'!E65</f>
        <v>604</v>
      </c>
      <c r="F65" s="808">
        <f>E65+'2025 IS_Quarterly'!F65</f>
        <v>894</v>
      </c>
      <c r="G65" s="799">
        <f>F65+'2025 IS_Quarterly'!G65</f>
        <v>3089</v>
      </c>
      <c r="H65" s="808">
        <f>'2025 IS_Quarterly'!H65</f>
        <v>0</v>
      </c>
      <c r="I65" s="799">
        <f>H65+'2025 IS_Quarterly'!K65</f>
        <v>0</v>
      </c>
      <c r="J65" s="799">
        <f>I65+'2025 IS_Quarterly'!N65</f>
        <v>0</v>
      </c>
    </row>
    <row r="66" spans="2:10" ht="16.2" customHeight="1" x14ac:dyDescent="0.4">
      <c r="B66" s="854" t="str">
        <f>'2025 IS_Quarterly'!B66</f>
        <v>외환차익</v>
      </c>
      <c r="C66" s="875" t="str">
        <f>'2025 IS_Quarterly'!C66</f>
        <v>Gain on Foreign Exchange</v>
      </c>
      <c r="D66" s="808">
        <f>'2025 IS_Quarterly'!D66</f>
        <v>262</v>
      </c>
      <c r="E66" s="808">
        <f>D66+'2025 IS_Quarterly'!E66</f>
        <v>1205</v>
      </c>
      <c r="F66" s="808">
        <f>E66+'2025 IS_Quarterly'!F66</f>
        <v>1950</v>
      </c>
      <c r="G66" s="799">
        <f>F66+'2025 IS_Quarterly'!G66</f>
        <v>3499</v>
      </c>
      <c r="H66" s="808">
        <f>'2025 IS_Quarterly'!H66</f>
        <v>363</v>
      </c>
      <c r="I66" s="799">
        <f>H66+'2025 IS_Quarterly'!K66</f>
        <v>518</v>
      </c>
      <c r="J66" s="799">
        <f>I66+'2025 IS_Quarterly'!N66</f>
        <v>1078</v>
      </c>
    </row>
    <row r="67" spans="2:10" ht="16.2" customHeight="1" x14ac:dyDescent="0.4">
      <c r="B67" s="855" t="str">
        <f>'2025 IS_Quarterly'!B67</f>
        <v>외화환산이익</v>
      </c>
      <c r="C67" s="896" t="str">
        <f>'2025 IS_Quarterly'!C67</f>
        <v>Gain on Foreign Currency Translation</v>
      </c>
      <c r="D67" s="886">
        <f>'2025 IS_Quarterly'!D67</f>
        <v>4568</v>
      </c>
      <c r="E67" s="886">
        <f>D67+'2025 IS_Quarterly'!E67</f>
        <v>7039</v>
      </c>
      <c r="F67" s="886">
        <f>E67+'2025 IS_Quarterly'!F67</f>
        <v>1783</v>
      </c>
      <c r="G67" s="887">
        <f>F67+'2025 IS_Quarterly'!G67</f>
        <v>12823</v>
      </c>
      <c r="H67" s="886">
        <f>'2025 IS_Quarterly'!H67</f>
        <v>447</v>
      </c>
      <c r="I67" s="887">
        <f>H67+'2025 IS_Quarterly'!K67</f>
        <v>99</v>
      </c>
      <c r="J67" s="887">
        <f>I67+'2025 IS_Quarterly'!N67</f>
        <v>501</v>
      </c>
    </row>
    <row r="68" spans="2:10" ht="16.2" customHeight="1" x14ac:dyDescent="0.4">
      <c r="B68" s="850" t="str">
        <f>'2025 IS_Quarterly'!B68</f>
        <v>영업외비용 - 금융비용</v>
      </c>
      <c r="C68" s="895" t="str">
        <f>'2025 IS_Quarterly'!C68</f>
        <v>Financial Expenses</v>
      </c>
      <c r="D68" s="805">
        <f>+SUM(D69:D74)</f>
        <v>-865.99</v>
      </c>
      <c r="E68" s="805">
        <f t="shared" ref="E68:J68" si="33">+SUM(E69:E74)</f>
        <v>-2634.99</v>
      </c>
      <c r="F68" s="805">
        <f t="shared" si="33"/>
        <v>-5309.99</v>
      </c>
      <c r="G68" s="801">
        <f t="shared" si="33"/>
        <v>-4683.99</v>
      </c>
      <c r="H68" s="805">
        <f t="shared" si="33"/>
        <v>-1410.586</v>
      </c>
      <c r="I68" s="801">
        <f t="shared" si="33"/>
        <v>-12915.585999999999</v>
      </c>
      <c r="J68" s="801">
        <f t="shared" si="33"/>
        <v>-9942.5859999999993</v>
      </c>
    </row>
    <row r="69" spans="2:10" ht="16.2" customHeight="1" x14ac:dyDescent="0.4">
      <c r="B69" s="854" t="str">
        <f>'2025 IS_Quarterly'!B69</f>
        <v>이자비용</v>
      </c>
      <c r="C69" s="875" t="str">
        <f>'2025 IS_Quarterly'!C69</f>
        <v>Interest Expenses</v>
      </c>
      <c r="D69" s="808">
        <f>'2025 IS_Quarterly'!D69</f>
        <v>-476</v>
      </c>
      <c r="E69" s="808">
        <f>D69+'2025 IS_Quarterly'!E69</f>
        <v>-946</v>
      </c>
      <c r="F69" s="808">
        <f>E69+'2025 IS_Quarterly'!F69</f>
        <v>-1417</v>
      </c>
      <c r="G69" s="799">
        <f>F69+'2025 IS_Quarterly'!G69</f>
        <v>-2041</v>
      </c>
      <c r="H69" s="808">
        <f>'2025 IS_Quarterly'!H69</f>
        <v>-683</v>
      </c>
      <c r="I69" s="799">
        <f>H69+'2025 IS_Quarterly'!K69</f>
        <v>-1258</v>
      </c>
      <c r="J69" s="799">
        <f>I69+'2025 IS_Quarterly'!N69</f>
        <v>-1812</v>
      </c>
    </row>
    <row r="70" spans="2:10" ht="16.2" customHeight="1" x14ac:dyDescent="0.4">
      <c r="B70" s="854" t="str">
        <f>'2025 IS_Quarterly'!B70</f>
        <v>매출채권처분손실</v>
      </c>
      <c r="C70" s="875" t="str">
        <f>'2025 IS_Quarterly'!C70</f>
        <v>Loss on Disposal of Trade Receivables</v>
      </c>
      <c r="D70" s="808">
        <f>'2025 IS_Quarterly'!D70</f>
        <v>-309.99</v>
      </c>
      <c r="E70" s="808">
        <f>D70+'2025 IS_Quarterly'!E70</f>
        <v>-550.99</v>
      </c>
      <c r="F70" s="808">
        <f>E70+'2025 IS_Quarterly'!F70</f>
        <v>-770.99</v>
      </c>
      <c r="G70" s="799">
        <f>F70+'2025 IS_Quarterly'!G70</f>
        <v>9.9999999999909051E-3</v>
      </c>
      <c r="H70" s="808">
        <f>'2025 IS_Quarterly'!H70</f>
        <v>-102.586</v>
      </c>
      <c r="I70" s="799">
        <f>H70+'2025 IS_Quarterly'!K70</f>
        <v>-209.58600000000001</v>
      </c>
      <c r="J70" s="799">
        <f>I70+'2025 IS_Quarterly'!N70</f>
        <v>-275.58600000000001</v>
      </c>
    </row>
    <row r="71" spans="2:10" ht="16.2" customHeight="1" x14ac:dyDescent="0.4">
      <c r="B71" s="854" t="str">
        <f>'2025 IS_Quarterly'!B71</f>
        <v>외환차손</v>
      </c>
      <c r="C71" s="875" t="str">
        <f>'2025 IS_Quarterly'!C71</f>
        <v>Loss on Foreign Exchange</v>
      </c>
      <c r="D71" s="808">
        <f>'2025 IS_Quarterly'!D71</f>
        <v>-79</v>
      </c>
      <c r="E71" s="808">
        <f>D71+'2025 IS_Quarterly'!E71</f>
        <v>-138</v>
      </c>
      <c r="F71" s="808">
        <f>E71+'2025 IS_Quarterly'!F71</f>
        <v>-745</v>
      </c>
      <c r="G71" s="799">
        <f>F71+'2025 IS_Quarterly'!G71</f>
        <v>-946</v>
      </c>
      <c r="H71" s="808">
        <f>'2025 IS_Quarterly'!H71</f>
        <v>-248</v>
      </c>
      <c r="I71" s="799">
        <f>H71+'2025 IS_Quarterly'!K71</f>
        <v>-1868</v>
      </c>
      <c r="J71" s="799">
        <f>I71+'2025 IS_Quarterly'!N71</f>
        <v>-2602</v>
      </c>
    </row>
    <row r="72" spans="2:10" ht="16.2" customHeight="1" x14ac:dyDescent="0.4">
      <c r="B72" s="854" t="str">
        <f>'2025 IS_Quarterly'!B72</f>
        <v>파생상품평가손실</v>
      </c>
      <c r="C72" s="875" t="str">
        <f>'2025 IS_Quarterly'!C72</f>
        <v>Loss on Valuation of Derivatives</v>
      </c>
      <c r="D72" s="888">
        <f>'2025 IS_Quarterly'!D72</f>
        <v>0</v>
      </c>
      <c r="E72" s="888">
        <f>D72+'2025 IS_Quarterly'!E72</f>
        <v>-992</v>
      </c>
      <c r="F72" s="888">
        <f>E72+'2025 IS_Quarterly'!F72</f>
        <v>-1637</v>
      </c>
      <c r="G72" s="889">
        <f>F72+'2025 IS_Quarterly'!G72</f>
        <v>-1648</v>
      </c>
      <c r="H72" s="888">
        <f>'2025 IS_Quarterly'!H72</f>
        <v>0</v>
      </c>
      <c r="I72" s="889">
        <f>H72+'2025 IS_Quarterly'!K72</f>
        <v>-362</v>
      </c>
      <c r="J72" s="889">
        <f>I72+'2025 IS_Quarterly'!N72</f>
        <v>-362</v>
      </c>
    </row>
    <row r="73" spans="2:10" ht="16.2" customHeight="1" x14ac:dyDescent="0.4">
      <c r="B73" s="854" t="str">
        <f>'2025 IS_Quarterly'!B73</f>
        <v>금융자산평가손실</v>
      </c>
      <c r="C73" s="875" t="str">
        <f>'2025 IS_Quarterly'!C73</f>
        <v>Loss on Valuation of Financial Assets</v>
      </c>
      <c r="D73" s="890">
        <f>'2025 IS_Quarterly'!D73</f>
        <v>0</v>
      </c>
      <c r="E73" s="890">
        <f>D73+'2025 IS_Quarterly'!E73</f>
        <v>0</v>
      </c>
      <c r="F73" s="890">
        <f>E73+'2025 IS_Quarterly'!F73</f>
        <v>0</v>
      </c>
      <c r="G73" s="892">
        <f>F73+'2025 IS_Quarterly'!G73</f>
        <v>-29</v>
      </c>
      <c r="H73" s="890">
        <f>'2025 IS_Quarterly'!H73</f>
        <v>0</v>
      </c>
      <c r="I73" s="892">
        <f>H73+'2025 IS_Quarterly'!K73</f>
        <v>-2</v>
      </c>
      <c r="J73" s="892">
        <f>I73+'2025 IS_Quarterly'!N73</f>
        <v>-2</v>
      </c>
    </row>
    <row r="74" spans="2:10" ht="16.2" customHeight="1" x14ac:dyDescent="0.4">
      <c r="B74" s="855" t="str">
        <f>'2025 IS_Quarterly'!B74</f>
        <v>외화환산손실</v>
      </c>
      <c r="C74" s="896" t="str">
        <f>'2025 IS_Quarterly'!C74</f>
        <v>Loss on Foreign Currency Translation</v>
      </c>
      <c r="D74" s="893">
        <f>'2025 IS_Quarterly'!D74</f>
        <v>-1</v>
      </c>
      <c r="E74" s="893">
        <f>D74+'2025 IS_Quarterly'!E74</f>
        <v>-8</v>
      </c>
      <c r="F74" s="893">
        <f>E74+'2025 IS_Quarterly'!F74</f>
        <v>-740</v>
      </c>
      <c r="G74" s="894">
        <f>F74+'2025 IS_Quarterly'!G74</f>
        <v>-20</v>
      </c>
      <c r="H74" s="893">
        <f>'2025 IS_Quarterly'!H74</f>
        <v>-377</v>
      </c>
      <c r="I74" s="894">
        <f>H74+'2025 IS_Quarterly'!K74</f>
        <v>-9216</v>
      </c>
      <c r="J74" s="894">
        <f>I74+'2025 IS_Quarterly'!N74</f>
        <v>-4889</v>
      </c>
    </row>
  </sheetData>
  <phoneticPr fontId="3" type="noConversion"/>
  <conditionalFormatting sqref="D1:K1 D25:K25 D43:K43">
    <cfRule type="cellIs" dxfId="98" priority="24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8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7DFF9-D542-484B-B005-3378DA79B074}">
  <sheetPr>
    <pageSetUpPr fitToPage="1"/>
  </sheetPr>
  <dimension ref="A1:AI108"/>
  <sheetViews>
    <sheetView showGridLines="0" view="pageBreakPreview" zoomScaleNormal="100" zoomScaleSheetLayoutView="100" workbookViewId="0">
      <pane xSplit="3" ySplit="2" topLeftCell="D9" activePane="bottomRight" state="frozen"/>
      <selection activeCell="D4" sqref="D4:G24"/>
      <selection pane="topRight" activeCell="D4" sqref="D4:G24"/>
      <selection pane="bottomLeft" activeCell="D4" sqref="D4:G24"/>
      <selection pane="bottomRight" activeCell="B3" sqref="B3"/>
    </sheetView>
  </sheetViews>
  <sheetFormatPr defaultColWidth="8.69921875" defaultRowHeight="16.2" customHeight="1" outlineLevelRow="1" outlineLevelCol="1" x14ac:dyDescent="0.4"/>
  <cols>
    <col min="1" max="1" width="3.5" style="156" customWidth="1"/>
    <col min="2" max="2" width="14.19921875" style="6" customWidth="1"/>
    <col min="3" max="3" width="26.69921875" style="6" bestFit="1" customWidth="1"/>
    <col min="4" max="23" width="9.19921875" style="359" hidden="1" customWidth="1" outlineLevel="1"/>
    <col min="24" max="24" width="9.19921875" style="359" customWidth="1" collapsed="1"/>
    <col min="25" max="34" width="9.19921875" style="359" customWidth="1"/>
    <col min="35" max="35" width="9.19921875" style="359" hidden="1" customWidth="1"/>
    <col min="36" max="16384" width="8.69921875" style="6"/>
  </cols>
  <sheetData>
    <row r="1" spans="1:35" ht="16.2" customHeight="1" thickBot="1" x14ac:dyDescent="0.45">
      <c r="A1" s="157"/>
      <c r="B1" s="4" t="s">
        <v>247</v>
      </c>
      <c r="C1" s="4"/>
      <c r="AE1" s="846" t="s">
        <v>405</v>
      </c>
    </row>
    <row r="2" spans="1:35" s="4" customFormat="1" ht="16.2" customHeight="1" x14ac:dyDescent="0.4">
      <c r="A2" s="156"/>
      <c r="B2" s="105" t="str">
        <f>'SG&amp;A_Quarterly'!B2</f>
        <v>(단위 : 백만원)</v>
      </c>
      <c r="C2" s="106" t="str">
        <f>'SG&amp;A_Quarterly'!C2</f>
        <v>(Unit: Million KRW)</v>
      </c>
      <c r="D2" s="779" t="s">
        <v>331</v>
      </c>
      <c r="E2" s="780" t="s">
        <v>426</v>
      </c>
      <c r="F2" s="780" t="s">
        <v>427</v>
      </c>
      <c r="G2" s="781" t="s">
        <v>428</v>
      </c>
      <c r="H2" s="779" t="s">
        <v>335</v>
      </c>
      <c r="I2" s="780" t="s">
        <v>429</v>
      </c>
      <c r="J2" s="780" t="s">
        <v>430</v>
      </c>
      <c r="K2" s="781" t="s">
        <v>431</v>
      </c>
      <c r="L2" s="779" t="s">
        <v>339</v>
      </c>
      <c r="M2" s="780" t="s">
        <v>432</v>
      </c>
      <c r="N2" s="780" t="s">
        <v>433</v>
      </c>
      <c r="O2" s="781" t="s">
        <v>434</v>
      </c>
      <c r="P2" s="779" t="s">
        <v>343</v>
      </c>
      <c r="Q2" s="780" t="s">
        <v>435</v>
      </c>
      <c r="R2" s="780" t="s">
        <v>436</v>
      </c>
      <c r="S2" s="781" t="s">
        <v>437</v>
      </c>
      <c r="T2" s="779" t="s">
        <v>312</v>
      </c>
      <c r="U2" s="780" t="s">
        <v>438</v>
      </c>
      <c r="V2" s="780" t="s">
        <v>439</v>
      </c>
      <c r="W2" s="781" t="s">
        <v>440</v>
      </c>
      <c r="X2" s="779" t="s">
        <v>316</v>
      </c>
      <c r="Y2" s="780" t="s">
        <v>441</v>
      </c>
      <c r="Z2" s="780" t="s">
        <v>442</v>
      </c>
      <c r="AA2" s="781" t="s">
        <v>443</v>
      </c>
      <c r="AB2" s="779" t="s">
        <v>214</v>
      </c>
      <c r="AC2" s="780" t="s">
        <v>309</v>
      </c>
      <c r="AD2" s="780" t="s">
        <v>310</v>
      </c>
      <c r="AE2" s="781" t="s">
        <v>311</v>
      </c>
      <c r="AF2" s="779" t="s">
        <v>272</v>
      </c>
      <c r="AG2" s="780" t="s">
        <v>417</v>
      </c>
      <c r="AH2" s="780" t="s">
        <v>448</v>
      </c>
      <c r="AI2" s="781"/>
    </row>
    <row r="3" spans="1:35" s="4" customFormat="1" ht="16.2" customHeight="1" x14ac:dyDescent="0.4">
      <c r="A3" s="156"/>
      <c r="B3" s="107" t="str">
        <f>'SG&amp;A_Quarterly'!B3</f>
        <v>급여</v>
      </c>
      <c r="C3" s="108" t="str">
        <f>'SG&amp;A_Quarterly'!C3</f>
        <v>Salaries</v>
      </c>
      <c r="D3" s="752">
        <v>1185.4449999999999</v>
      </c>
      <c r="E3" s="753">
        <v>2732.9030000000002</v>
      </c>
      <c r="F3" s="753">
        <v>4532.4870000000001</v>
      </c>
      <c r="G3" s="366">
        <v>6188.9480000000003</v>
      </c>
      <c r="H3" s="752">
        <v>1503.5239999999999</v>
      </c>
      <c r="I3" s="753">
        <v>3877.0830000000001</v>
      </c>
      <c r="J3" s="753">
        <v>5601.8150000000005</v>
      </c>
      <c r="K3" s="366">
        <v>7740.0240000000003</v>
      </c>
      <c r="L3" s="752">
        <v>1475.0540000000001</v>
      </c>
      <c r="M3" s="753">
        <v>3867.1950000000002</v>
      </c>
      <c r="N3" s="753">
        <v>5413.7560000000003</v>
      </c>
      <c r="O3" s="366">
        <v>8366.648000000001</v>
      </c>
      <c r="P3" s="752">
        <v>2328.0590000000002</v>
      </c>
      <c r="Q3" s="753">
        <v>4677.1499999999996</v>
      </c>
      <c r="R3" s="753">
        <v>7105.5450000000001</v>
      </c>
      <c r="S3" s="366">
        <v>9137.4449999999997</v>
      </c>
      <c r="T3" s="752">
        <f>'SG&amp;A_Quarterly'!AR3</f>
        <v>2562.6559999999999</v>
      </c>
      <c r="U3" s="753">
        <f>T3+'SG&amp;A_Quarterly'!AU3</f>
        <v>5108.8269999999993</v>
      </c>
      <c r="V3" s="753">
        <f>U3+'SG&amp;A_Quarterly'!AX3</f>
        <v>7937.0301799999997</v>
      </c>
      <c r="W3" s="366">
        <f>V3+'SG&amp;A_Quarterly'!BA3</f>
        <v>10022.963777999999</v>
      </c>
      <c r="X3" s="752">
        <f>'SG&amp;A_Quarterly'!BD3</f>
        <v>2200.024531</v>
      </c>
      <c r="Y3" s="753">
        <f>X3+'SG&amp;A_Quarterly'!BG3</f>
        <v>4637.2264240000004</v>
      </c>
      <c r="Z3" s="753">
        <f>Y3+'SG&amp;A_Quarterly'!BJ3</f>
        <v>7170.2424210000008</v>
      </c>
      <c r="AA3" s="366">
        <f>Z3+'SG&amp;A_Quarterly'!BM3</f>
        <v>9671.091421000001</v>
      </c>
      <c r="AB3" s="752">
        <f>'SG&amp;A_Quarterly'!BP3</f>
        <v>2749.2179999999998</v>
      </c>
      <c r="AC3" s="753">
        <f>AB3+'SG&amp;A_Quarterly'!BS3</f>
        <v>5614.1689999999999</v>
      </c>
      <c r="AD3" s="753">
        <f>AC3+'SG&amp;A_Quarterly'!BV3</f>
        <v>8802.0589999999993</v>
      </c>
      <c r="AE3" s="366">
        <f>AD3+'SG&amp;A_Quarterly'!BY3</f>
        <v>12486.143</v>
      </c>
      <c r="AF3" s="752">
        <f>'SG&amp;A_Quarterly'!CB3</f>
        <v>3882</v>
      </c>
      <c r="AG3" s="753">
        <f>AF3+'SG&amp;A_Quarterly'!CE3</f>
        <v>7658.7</v>
      </c>
      <c r="AH3" s="753">
        <f>AG3+'SG&amp;A_Quarterly'!CH3</f>
        <v>11776.511999999999</v>
      </c>
      <c r="AI3" s="366"/>
    </row>
    <row r="4" spans="1:35" s="4" customFormat="1" ht="16.2" customHeight="1" x14ac:dyDescent="0.4">
      <c r="A4" s="156"/>
      <c r="B4" s="109" t="str">
        <f>'SG&amp;A_Quarterly'!B4</f>
        <v>경상연구개발비</v>
      </c>
      <c r="C4" s="108" t="str">
        <f>'SG&amp;A_Quarterly'!C4</f>
        <v>R&amp;D Expenses</v>
      </c>
      <c r="D4" s="752">
        <v>462.74799999999999</v>
      </c>
      <c r="E4" s="753">
        <v>1019.444</v>
      </c>
      <c r="F4" s="753">
        <v>1430.704</v>
      </c>
      <c r="G4" s="366">
        <v>1528.768</v>
      </c>
      <c r="H4" s="752">
        <v>319.90499999999997</v>
      </c>
      <c r="I4" s="753">
        <v>869.55</v>
      </c>
      <c r="J4" s="753">
        <v>1394.5029999999999</v>
      </c>
      <c r="K4" s="366">
        <v>1923.598</v>
      </c>
      <c r="L4" s="752">
        <v>401.61700000000002</v>
      </c>
      <c r="M4" s="753">
        <v>1053.384</v>
      </c>
      <c r="N4" s="753">
        <v>1537.421</v>
      </c>
      <c r="O4" s="366">
        <v>3115.05</v>
      </c>
      <c r="P4" s="752">
        <v>800.79</v>
      </c>
      <c r="Q4" s="753">
        <v>2485.8869999999997</v>
      </c>
      <c r="R4" s="753">
        <v>3718.1789999999996</v>
      </c>
      <c r="S4" s="366">
        <v>4700.5929999999998</v>
      </c>
      <c r="T4" s="752">
        <f>'SG&amp;A_Quarterly'!AR4</f>
        <v>1092.835</v>
      </c>
      <c r="U4" s="753">
        <f>T4+'SG&amp;A_Quarterly'!AU4</f>
        <v>2111.2551669999998</v>
      </c>
      <c r="V4" s="753">
        <f>U4+'SG&amp;A_Quarterly'!AX4</f>
        <v>3114.7865839999999</v>
      </c>
      <c r="W4" s="366">
        <f>V4+'SG&amp;A_Quarterly'!BA4</f>
        <v>4429.7771059999995</v>
      </c>
      <c r="X4" s="752">
        <f>'SG&amp;A_Quarterly'!BD4</f>
        <v>2115.6628559999999</v>
      </c>
      <c r="Y4" s="753">
        <f>X4+'SG&amp;A_Quarterly'!BG4</f>
        <v>4398.0632540000006</v>
      </c>
      <c r="Z4" s="753">
        <f>Y4+'SG&amp;A_Quarterly'!BJ4</f>
        <v>6611.3567690000009</v>
      </c>
      <c r="AA4" s="366">
        <f>Z4+'SG&amp;A_Quarterly'!BM4</f>
        <v>9200.6427690000019</v>
      </c>
      <c r="AB4" s="752">
        <f>'SG&amp;A_Quarterly'!BP4</f>
        <v>2799.6509999999998</v>
      </c>
      <c r="AC4" s="753">
        <f>AB4+'SG&amp;A_Quarterly'!BS4</f>
        <v>5623.857</v>
      </c>
      <c r="AD4" s="753">
        <f>AC4+'SG&amp;A_Quarterly'!BV4</f>
        <v>8699.8080000000009</v>
      </c>
      <c r="AE4" s="366">
        <f>AD4+'SG&amp;A_Quarterly'!BY4</f>
        <v>12617.668000000001</v>
      </c>
      <c r="AF4" s="752">
        <f>'SG&amp;A_Quarterly'!CB4</f>
        <v>4156</v>
      </c>
      <c r="AG4" s="753">
        <f>AF4+'SG&amp;A_Quarterly'!CE4</f>
        <v>8397</v>
      </c>
      <c r="AH4" s="753">
        <f>AG4+'SG&amp;A_Quarterly'!CH4</f>
        <v>12753.424999999999</v>
      </c>
      <c r="AI4" s="366"/>
    </row>
    <row r="5" spans="1:35" s="4" customFormat="1" ht="16.2" customHeight="1" x14ac:dyDescent="0.4">
      <c r="A5" s="156"/>
      <c r="B5" s="109" t="str">
        <f>'SG&amp;A_Quarterly'!B5</f>
        <v>광고선전비</v>
      </c>
      <c r="C5" s="108" t="str">
        <f>'SG&amp;A_Quarterly'!C5</f>
        <v>Advertising</v>
      </c>
      <c r="D5" s="752">
        <v>238.93</v>
      </c>
      <c r="E5" s="753">
        <v>642.77800000000002</v>
      </c>
      <c r="F5" s="753">
        <v>930.01900000000001</v>
      </c>
      <c r="G5" s="366">
        <v>1347.8890000000001</v>
      </c>
      <c r="H5" s="752">
        <v>674.73800000000006</v>
      </c>
      <c r="I5" s="753">
        <v>1319.1260000000002</v>
      </c>
      <c r="J5" s="753">
        <v>1919.7040000000002</v>
      </c>
      <c r="K5" s="366">
        <v>2343.8130000000001</v>
      </c>
      <c r="L5" s="752">
        <v>267.22399999999999</v>
      </c>
      <c r="M5" s="753">
        <v>388.65800000000002</v>
      </c>
      <c r="N5" s="753">
        <v>589.69100000000003</v>
      </c>
      <c r="O5" s="366">
        <v>840.21800000000007</v>
      </c>
      <c r="P5" s="752">
        <v>799.553</v>
      </c>
      <c r="Q5" s="753">
        <v>1653.0630000000001</v>
      </c>
      <c r="R5" s="753">
        <v>2007.4760000000001</v>
      </c>
      <c r="S5" s="366">
        <v>4215.0730000000003</v>
      </c>
      <c r="T5" s="752">
        <f>'SG&amp;A_Quarterly'!AR5</f>
        <v>1609.318</v>
      </c>
      <c r="U5" s="753">
        <f>T5+'SG&amp;A_Quarterly'!AU5</f>
        <v>3611.511782</v>
      </c>
      <c r="V5" s="753">
        <f>U5+'SG&amp;A_Quarterly'!AX5</f>
        <v>4723.8017820000005</v>
      </c>
      <c r="W5" s="366">
        <f>V5+'SG&amp;A_Quarterly'!BA5</f>
        <v>5914.1873810000006</v>
      </c>
      <c r="X5" s="752">
        <f>'SG&amp;A_Quarterly'!BD5</f>
        <v>1318.646467</v>
      </c>
      <c r="Y5" s="753">
        <f>X5+'SG&amp;A_Quarterly'!BG5</f>
        <v>5021.5207250000003</v>
      </c>
      <c r="Z5" s="753">
        <f>Y5+'SG&amp;A_Quarterly'!BJ5</f>
        <v>6487.9409599999999</v>
      </c>
      <c r="AA5" s="366">
        <f>Z5+'SG&amp;A_Quarterly'!BM5</f>
        <v>9029.7379600000004</v>
      </c>
      <c r="AB5" s="752">
        <f>'SG&amp;A_Quarterly'!BP5</f>
        <v>2227.27</v>
      </c>
      <c r="AC5" s="753">
        <f>AB5+'SG&amp;A_Quarterly'!BS5</f>
        <v>4743.6239999999998</v>
      </c>
      <c r="AD5" s="753">
        <f>AC5+'SG&amp;A_Quarterly'!BV5</f>
        <v>9481.2469999999994</v>
      </c>
      <c r="AE5" s="366">
        <f>AD5+'SG&amp;A_Quarterly'!BY5</f>
        <v>12820.741999999998</v>
      </c>
      <c r="AF5" s="752">
        <f>'SG&amp;A_Quarterly'!CB5</f>
        <v>3641</v>
      </c>
      <c r="AG5" s="753">
        <f>AF5+'SG&amp;A_Quarterly'!CE5</f>
        <v>6141.1</v>
      </c>
      <c r="AH5" s="753">
        <f>AG5+'SG&amp;A_Quarterly'!CH5</f>
        <v>12128.614000000001</v>
      </c>
      <c r="AI5" s="366"/>
    </row>
    <row r="6" spans="1:35" s="4" customFormat="1" ht="16.2" customHeight="1" x14ac:dyDescent="0.4">
      <c r="A6" s="156"/>
      <c r="B6" s="110" t="str">
        <f>'SG&amp;A_Quarterly'!B6</f>
        <v>지급수수료</v>
      </c>
      <c r="C6" s="111" t="str">
        <f>'SG&amp;A_Quarterly'!C6</f>
        <v>Commission</v>
      </c>
      <c r="D6" s="754">
        <v>425.714</v>
      </c>
      <c r="E6" s="755">
        <v>748.52499999999998</v>
      </c>
      <c r="F6" s="755">
        <v>1073.7280000000001</v>
      </c>
      <c r="G6" s="372">
        <v>1647.855</v>
      </c>
      <c r="H6" s="754">
        <v>630.08699999999999</v>
      </c>
      <c r="I6" s="755">
        <v>1374.3789999999999</v>
      </c>
      <c r="J6" s="755">
        <v>1933.567</v>
      </c>
      <c r="K6" s="372">
        <v>2540.9120000000003</v>
      </c>
      <c r="L6" s="754">
        <v>510.42599999999999</v>
      </c>
      <c r="M6" s="755">
        <v>1110.961</v>
      </c>
      <c r="N6" s="755">
        <v>1691.3980000000001</v>
      </c>
      <c r="O6" s="372">
        <v>2825.7939999999999</v>
      </c>
      <c r="P6" s="754">
        <v>523.947</v>
      </c>
      <c r="Q6" s="755">
        <v>985.80500000000006</v>
      </c>
      <c r="R6" s="755">
        <v>1496.047</v>
      </c>
      <c r="S6" s="372">
        <v>2264.7820000000002</v>
      </c>
      <c r="T6" s="754">
        <f>'SG&amp;A_Quarterly'!AR6</f>
        <v>949.16200000000003</v>
      </c>
      <c r="U6" s="755">
        <f>T6+'SG&amp;A_Quarterly'!AU6</f>
        <v>1957.1427630000001</v>
      </c>
      <c r="V6" s="755">
        <f>U6+'SG&amp;A_Quarterly'!AX6</f>
        <v>3085.7977499999997</v>
      </c>
      <c r="W6" s="372">
        <f>V6+'SG&amp;A_Quarterly'!BA6</f>
        <v>6676.4098190000004</v>
      </c>
      <c r="X6" s="754">
        <f>'SG&amp;A_Quarterly'!BD6</f>
        <v>1768.3492180000001</v>
      </c>
      <c r="Y6" s="755">
        <f>X6+'SG&amp;A_Quarterly'!BG6</f>
        <v>2811.6062659999998</v>
      </c>
      <c r="Z6" s="755">
        <f>Y6+'SG&amp;A_Quarterly'!BJ6</f>
        <v>4792.3496189999996</v>
      </c>
      <c r="AA6" s="372">
        <f>Z6+'SG&amp;A_Quarterly'!BM6</f>
        <v>7499.3386190000001</v>
      </c>
      <c r="AB6" s="754">
        <f>'SG&amp;A_Quarterly'!BP6</f>
        <v>1694.518</v>
      </c>
      <c r="AC6" s="755">
        <f>AB6+'SG&amp;A_Quarterly'!BS6</f>
        <v>4859.2530000000006</v>
      </c>
      <c r="AD6" s="755">
        <f>AC6+'SG&amp;A_Quarterly'!BV6</f>
        <v>7028.9250000000011</v>
      </c>
      <c r="AE6" s="372">
        <f>AD6+'SG&amp;A_Quarterly'!BY6</f>
        <v>10395.455000000002</v>
      </c>
      <c r="AF6" s="754">
        <f>'SG&amp;A_Quarterly'!CB6</f>
        <v>2375</v>
      </c>
      <c r="AG6" s="755">
        <f>AF6+'SG&amp;A_Quarterly'!CE6</f>
        <v>3969</v>
      </c>
      <c r="AH6" s="755">
        <f>AG6+'SG&amp;A_Quarterly'!CH6</f>
        <v>6144.5519999999997</v>
      </c>
      <c r="AI6" s="372"/>
    </row>
    <row r="7" spans="1:35" s="4" customFormat="1" ht="16.2" customHeight="1" x14ac:dyDescent="0.4">
      <c r="A7" s="156"/>
      <c r="B7" s="110" t="str">
        <f>'SG&amp;A_Quarterly'!B7</f>
        <v>판매수수료</v>
      </c>
      <c r="C7" s="111" t="str">
        <f>'SG&amp;A_Quarterly'!C7</f>
        <v xml:space="preserve">Sales Commissions </v>
      </c>
      <c r="D7" s="754">
        <v>382.60899999999998</v>
      </c>
      <c r="E7" s="755">
        <v>729.745</v>
      </c>
      <c r="F7" s="755">
        <v>1068.0450000000001</v>
      </c>
      <c r="G7" s="372">
        <v>1599.3980000000001</v>
      </c>
      <c r="H7" s="754">
        <v>399.54300000000001</v>
      </c>
      <c r="I7" s="755">
        <v>1113.3130000000001</v>
      </c>
      <c r="J7" s="755">
        <v>1458.63</v>
      </c>
      <c r="K7" s="372">
        <v>1908.2040000000002</v>
      </c>
      <c r="L7" s="754">
        <v>226.07599999999999</v>
      </c>
      <c r="M7" s="755">
        <v>515.05600000000004</v>
      </c>
      <c r="N7" s="755">
        <v>696.52200000000005</v>
      </c>
      <c r="O7" s="372">
        <v>926.50200000000007</v>
      </c>
      <c r="P7" s="754">
        <v>186.137</v>
      </c>
      <c r="Q7" s="755">
        <v>467.37599999999998</v>
      </c>
      <c r="R7" s="755">
        <v>636.98699999999997</v>
      </c>
      <c r="S7" s="372">
        <v>714.71399999999994</v>
      </c>
      <c r="T7" s="754">
        <f>'SG&amp;A_Quarterly'!AR7</f>
        <v>1687.354</v>
      </c>
      <c r="U7" s="755">
        <f>T7+'SG&amp;A_Quarterly'!AU7</f>
        <v>2691.9794449999999</v>
      </c>
      <c r="V7" s="755">
        <f>U7+'SG&amp;A_Quarterly'!AX7</f>
        <v>3179.6627800000001</v>
      </c>
      <c r="W7" s="372">
        <f>V7+'SG&amp;A_Quarterly'!BA7</f>
        <v>3826.2594980000003</v>
      </c>
      <c r="X7" s="754">
        <f>'SG&amp;A_Quarterly'!BD7</f>
        <v>578.01816399999996</v>
      </c>
      <c r="Y7" s="755">
        <f>X7+'SG&amp;A_Quarterly'!BG7</f>
        <v>1326.2437829999999</v>
      </c>
      <c r="Z7" s="755">
        <f>Y7+'SG&amp;A_Quarterly'!BJ7</f>
        <v>2339.7015969999998</v>
      </c>
      <c r="AA7" s="372">
        <f>Z7+'SG&amp;A_Quarterly'!BM7</f>
        <v>3195.5285969999995</v>
      </c>
      <c r="AB7" s="754">
        <f>'SG&amp;A_Quarterly'!BP7</f>
        <v>800.01700000000005</v>
      </c>
      <c r="AC7" s="755">
        <f>AB7+'SG&amp;A_Quarterly'!BS7</f>
        <v>1967.441</v>
      </c>
      <c r="AD7" s="755">
        <f>AC7+'SG&amp;A_Quarterly'!BV7</f>
        <v>2808.848</v>
      </c>
      <c r="AE7" s="372">
        <f>AD7+'SG&amp;A_Quarterly'!BY7</f>
        <v>3423.7660000000001</v>
      </c>
      <c r="AF7" s="754">
        <f>'SG&amp;A_Quarterly'!CB7</f>
        <v>1531</v>
      </c>
      <c r="AG7" s="755">
        <f>AF7+'SG&amp;A_Quarterly'!CE7</f>
        <v>3316.7</v>
      </c>
      <c r="AH7" s="755">
        <f>AG7+'SG&amp;A_Quarterly'!CH7</f>
        <v>4447.1669999999995</v>
      </c>
      <c r="AI7" s="372"/>
    </row>
    <row r="8" spans="1:35" s="4" customFormat="1" ht="16.2" customHeight="1" x14ac:dyDescent="0.4">
      <c r="A8" s="156"/>
      <c r="B8" s="110" t="str">
        <f>'SG&amp;A_Quarterly'!B8</f>
        <v>감가상각비</v>
      </c>
      <c r="C8" s="111" t="str">
        <f>'SG&amp;A_Quarterly'!C8</f>
        <v>Depreciation</v>
      </c>
      <c r="D8" s="754">
        <v>118.205</v>
      </c>
      <c r="E8" s="755">
        <v>231.04300000000001</v>
      </c>
      <c r="F8" s="755">
        <v>348.71000000000004</v>
      </c>
      <c r="G8" s="372">
        <v>472.65400000000005</v>
      </c>
      <c r="H8" s="754">
        <v>163.857</v>
      </c>
      <c r="I8" s="755">
        <v>350.31100000000004</v>
      </c>
      <c r="J8" s="755">
        <v>527.04600000000005</v>
      </c>
      <c r="K8" s="372">
        <v>665.14400000000001</v>
      </c>
      <c r="L8" s="754">
        <v>183.422</v>
      </c>
      <c r="M8" s="755">
        <v>368.64</v>
      </c>
      <c r="N8" s="755">
        <v>539.26499999999999</v>
      </c>
      <c r="O8" s="372">
        <v>739.63799999999992</v>
      </c>
      <c r="P8" s="754">
        <v>211.79900000000001</v>
      </c>
      <c r="Q8" s="755">
        <v>445.80700000000002</v>
      </c>
      <c r="R8" s="755">
        <v>693.23800000000006</v>
      </c>
      <c r="S8" s="372">
        <v>956.85200000000009</v>
      </c>
      <c r="T8" s="754">
        <f>'SG&amp;A_Quarterly'!AR8</f>
        <v>372.00599999999997</v>
      </c>
      <c r="U8" s="755">
        <f>T8+'SG&amp;A_Quarterly'!AU8</f>
        <v>747.75356199999999</v>
      </c>
      <c r="V8" s="755">
        <f>U8+'SG&amp;A_Quarterly'!AX8</f>
        <v>1027.284373</v>
      </c>
      <c r="W8" s="372">
        <f>V8+'SG&amp;A_Quarterly'!BA8</f>
        <v>1430.150449</v>
      </c>
      <c r="X8" s="754">
        <f>'SG&amp;A_Quarterly'!BD8</f>
        <v>437.11958600000003</v>
      </c>
      <c r="Y8" s="755">
        <f>X8+'SG&amp;A_Quarterly'!BG8</f>
        <v>906.62997600000006</v>
      </c>
      <c r="Z8" s="755">
        <f>Y8+'SG&amp;A_Quarterly'!BJ8</f>
        <v>1424.3948209999999</v>
      </c>
      <c r="AA8" s="372">
        <f>Z8+'SG&amp;A_Quarterly'!BM8</f>
        <v>1972.4728209999998</v>
      </c>
      <c r="AB8" s="754">
        <f>'SG&amp;A_Quarterly'!BP8</f>
        <v>572.452</v>
      </c>
      <c r="AC8" s="755">
        <f>AB8+'SG&amp;A_Quarterly'!BS8</f>
        <v>1158.846</v>
      </c>
      <c r="AD8" s="755">
        <f>AC8+'SG&amp;A_Quarterly'!BV8</f>
        <v>1761.0810000000001</v>
      </c>
      <c r="AE8" s="372">
        <f>AD8+'SG&amp;A_Quarterly'!BY8</f>
        <v>2574.8500000000004</v>
      </c>
      <c r="AF8" s="754">
        <f>'SG&amp;A_Quarterly'!CB8</f>
        <v>725</v>
      </c>
      <c r="AG8" s="755">
        <f>AF8+'SG&amp;A_Quarterly'!CE8</f>
        <v>1474.7</v>
      </c>
      <c r="AH8" s="755">
        <f>AG8+'SG&amp;A_Quarterly'!CH8</f>
        <v>2254.529</v>
      </c>
      <c r="AI8" s="372"/>
    </row>
    <row r="9" spans="1:35" ht="16.2" customHeight="1" x14ac:dyDescent="0.4">
      <c r="B9" s="110" t="str">
        <f>'SG&amp;A_Quarterly'!B9</f>
        <v>무형고정자산상각비</v>
      </c>
      <c r="C9" s="111" t="str">
        <f>'SG&amp;A_Quarterly'!C9</f>
        <v>Amortization of Intangible Assets</v>
      </c>
      <c r="D9" s="754">
        <v>4.8259999999999996</v>
      </c>
      <c r="E9" s="755">
        <v>10.6</v>
      </c>
      <c r="F9" s="755">
        <v>16.491</v>
      </c>
      <c r="G9" s="372">
        <v>23.420999999999999</v>
      </c>
      <c r="H9" s="754">
        <v>7.819</v>
      </c>
      <c r="I9" s="755">
        <v>18.099</v>
      </c>
      <c r="J9" s="755">
        <v>35.771999999999998</v>
      </c>
      <c r="K9" s="372">
        <v>47.698</v>
      </c>
      <c r="L9" s="754">
        <v>21.866</v>
      </c>
      <c r="M9" s="755">
        <v>37.664000000000001</v>
      </c>
      <c r="N9" s="755">
        <v>57.018000000000001</v>
      </c>
      <c r="O9" s="372">
        <v>80.17</v>
      </c>
      <c r="P9" s="754">
        <v>33.146999999999998</v>
      </c>
      <c r="Q9" s="755">
        <v>49.98</v>
      </c>
      <c r="R9" s="755">
        <v>76.344999999999999</v>
      </c>
      <c r="S9" s="372">
        <v>107.551</v>
      </c>
      <c r="T9" s="754">
        <f>'SG&amp;A_Quarterly'!AR9</f>
        <v>35.301000000000002</v>
      </c>
      <c r="U9" s="755">
        <f>T9+'SG&amp;A_Quarterly'!AU9</f>
        <v>73.28536299999999</v>
      </c>
      <c r="V9" s="755">
        <f>U9+'SG&amp;A_Quarterly'!AX9</f>
        <v>115.75936299999998</v>
      </c>
      <c r="W9" s="372">
        <f>V9+'SG&amp;A_Quarterly'!BA9</f>
        <v>162.96363099999996</v>
      </c>
      <c r="X9" s="754">
        <f>'SG&amp;A_Quarterly'!BD9</f>
        <v>55.694633000000003</v>
      </c>
      <c r="Y9" s="755">
        <f>X9+'SG&amp;A_Quarterly'!BG9</f>
        <v>115.742729</v>
      </c>
      <c r="Z9" s="755">
        <f>Y9+'SG&amp;A_Quarterly'!BJ9</f>
        <v>178.43338</v>
      </c>
      <c r="AA9" s="372">
        <f>Z9+'SG&amp;A_Quarterly'!BM9</f>
        <v>251.92437999999999</v>
      </c>
      <c r="AB9" s="754">
        <f>'SG&amp;A_Quarterly'!BP9</f>
        <v>77.319999999999993</v>
      </c>
      <c r="AC9" s="755">
        <f>AB9+'SG&amp;A_Quarterly'!BS9</f>
        <v>155.21100000000001</v>
      </c>
      <c r="AD9" s="755">
        <f>AC9+'SG&amp;A_Quarterly'!BV9</f>
        <v>240.93900000000002</v>
      </c>
      <c r="AE9" s="372">
        <f>AD9+'SG&amp;A_Quarterly'!BY9</f>
        <v>2166.4760000000001</v>
      </c>
      <c r="AF9" s="754">
        <f>'SG&amp;A_Quarterly'!CB9</f>
        <v>1912</v>
      </c>
      <c r="AG9" s="755">
        <f>AF9+'SG&amp;A_Quarterly'!CE9</f>
        <v>3858.6</v>
      </c>
      <c r="AH9" s="755">
        <f>AG9+'SG&amp;A_Quarterly'!CH9</f>
        <v>5862.87</v>
      </c>
      <c r="AI9" s="372"/>
    </row>
    <row r="10" spans="1:35" ht="16.2" customHeight="1" x14ac:dyDescent="0.4">
      <c r="B10" s="110" t="str">
        <f>'SG&amp;A_Quarterly'!B10</f>
        <v>퇴직급여</v>
      </c>
      <c r="C10" s="111" t="str">
        <f>'SG&amp;A_Quarterly'!C10</f>
        <v>Retirement benefits</v>
      </c>
      <c r="D10" s="754">
        <v>92.655000000000001</v>
      </c>
      <c r="E10" s="755">
        <v>185.18299999999999</v>
      </c>
      <c r="F10" s="755">
        <v>287.07799999999997</v>
      </c>
      <c r="G10" s="372">
        <v>394.56899999999996</v>
      </c>
      <c r="H10" s="754">
        <v>121.11799999999999</v>
      </c>
      <c r="I10" s="755">
        <v>244.80699999999999</v>
      </c>
      <c r="J10" s="755">
        <v>377.45600000000002</v>
      </c>
      <c r="K10" s="372">
        <v>481.48200000000003</v>
      </c>
      <c r="L10" s="754">
        <v>133.63200000000001</v>
      </c>
      <c r="M10" s="755">
        <v>256.43</v>
      </c>
      <c r="N10" s="755">
        <v>384.62900000000002</v>
      </c>
      <c r="O10" s="372">
        <v>506.62</v>
      </c>
      <c r="P10" s="754">
        <v>138.61500000000001</v>
      </c>
      <c r="Q10" s="755">
        <v>277.13200000000001</v>
      </c>
      <c r="R10" s="755">
        <v>426.88</v>
      </c>
      <c r="S10" s="372">
        <v>577.90699999999993</v>
      </c>
      <c r="T10" s="754">
        <f>'SG&amp;A_Quarterly'!AR10</f>
        <v>209.56200000000001</v>
      </c>
      <c r="U10" s="755">
        <f>T10+'SG&amp;A_Quarterly'!AU10</f>
        <v>351.57815900000003</v>
      </c>
      <c r="V10" s="755">
        <f>U10+'SG&amp;A_Quarterly'!AX10</f>
        <v>549.43095300000004</v>
      </c>
      <c r="W10" s="372">
        <f>V10+'SG&amp;A_Quarterly'!BA10</f>
        <v>787.51774900000009</v>
      </c>
      <c r="X10" s="754">
        <f>'SG&amp;A_Quarterly'!BD10</f>
        <v>150.03006299999998</v>
      </c>
      <c r="Y10" s="755">
        <f>X10+'SG&amp;A_Quarterly'!BG10</f>
        <v>382.59948999999995</v>
      </c>
      <c r="Z10" s="755">
        <f>Y10+'SG&amp;A_Quarterly'!BJ10</f>
        <v>563.95947499999988</v>
      </c>
      <c r="AA10" s="372">
        <f>Z10+'SG&amp;A_Quarterly'!BM10</f>
        <v>747.37947499999984</v>
      </c>
      <c r="AB10" s="754">
        <f>'SG&amp;A_Quarterly'!BP10</f>
        <v>246.47300000000001</v>
      </c>
      <c r="AC10" s="755">
        <f>AB10+'SG&amp;A_Quarterly'!BS10</f>
        <v>449.39499999999998</v>
      </c>
      <c r="AD10" s="755">
        <f>AC10+'SG&amp;A_Quarterly'!BV10</f>
        <v>680.99800000000005</v>
      </c>
      <c r="AE10" s="372">
        <f>AD10+'SG&amp;A_Quarterly'!BY10</f>
        <v>921.49300000000005</v>
      </c>
      <c r="AF10" s="754">
        <f>'SG&amp;A_Quarterly'!CB10</f>
        <v>279</v>
      </c>
      <c r="AG10" s="755">
        <f>AF10+'SG&amp;A_Quarterly'!CE10</f>
        <v>531</v>
      </c>
      <c r="AH10" s="755">
        <f>AG10+'SG&amp;A_Quarterly'!CH10</f>
        <v>782.01499999999999</v>
      </c>
      <c r="AI10" s="372"/>
    </row>
    <row r="11" spans="1:35" ht="16.2" customHeight="1" x14ac:dyDescent="0.4">
      <c r="B11" s="836" t="str">
        <f>'SG&amp;A_Quarterly'!B11</f>
        <v>기타</v>
      </c>
      <c r="C11" s="837" t="str">
        <f>'SG&amp;A_Quarterly'!C11</f>
        <v>Others</v>
      </c>
      <c r="D11" s="838">
        <v>4.8259999999999996</v>
      </c>
      <c r="E11" s="839">
        <v>10.6</v>
      </c>
      <c r="F11" s="839">
        <v>16.491</v>
      </c>
      <c r="G11" s="840">
        <v>23.420999999999999</v>
      </c>
      <c r="H11" s="838">
        <v>7.819</v>
      </c>
      <c r="I11" s="839">
        <v>18.099</v>
      </c>
      <c r="J11" s="839">
        <v>35.771999999999998</v>
      </c>
      <c r="K11" s="840">
        <v>47.698</v>
      </c>
      <c r="L11" s="838">
        <v>21.866</v>
      </c>
      <c r="M11" s="839">
        <v>37.664000000000001</v>
      </c>
      <c r="N11" s="839">
        <v>57.018000000000001</v>
      </c>
      <c r="O11" s="840">
        <v>80.17</v>
      </c>
      <c r="P11" s="838">
        <v>33.146999999999998</v>
      </c>
      <c r="Q11" s="839">
        <v>49.98</v>
      </c>
      <c r="R11" s="839">
        <v>76.344999999999999</v>
      </c>
      <c r="S11" s="840">
        <v>107.551</v>
      </c>
      <c r="T11" s="838">
        <f>'SG&amp;A_Quarterly'!AR11</f>
        <v>1358.5300000000002</v>
      </c>
      <c r="U11" s="839">
        <f>T11+'SG&amp;A_Quarterly'!AU11</f>
        <v>2368.3429480000004</v>
      </c>
      <c r="V11" s="839">
        <f>U11+'SG&amp;A_Quarterly'!AX11</f>
        <v>3760.0510110000005</v>
      </c>
      <c r="W11" s="840">
        <f>V11+'SG&amp;A_Quarterly'!BA11</f>
        <v>6040.5869450000009</v>
      </c>
      <c r="X11" s="838">
        <f>'SG&amp;A_Quarterly'!BD11</f>
        <v>1695.0820409999999</v>
      </c>
      <c r="Y11" s="839">
        <f>X11+'SG&amp;A_Quarterly'!BG11</f>
        <v>3893.3684649999996</v>
      </c>
      <c r="Z11" s="839">
        <f>Y11+'SG&amp;A_Quarterly'!BJ11</f>
        <v>6272.8338799999992</v>
      </c>
      <c r="AA11" s="840">
        <f>Z11+'SG&amp;A_Quarterly'!BM11</f>
        <v>9258.5658799999983</v>
      </c>
      <c r="AB11" s="838">
        <f>'SG&amp;A_Quarterly'!BP11</f>
        <v>2527.38</v>
      </c>
      <c r="AC11" s="839">
        <f>AB11+'SG&amp;A_Quarterly'!BS11</f>
        <v>5448.0210000000006</v>
      </c>
      <c r="AD11" s="839">
        <f>AC11+'SG&amp;A_Quarterly'!BV11</f>
        <v>8164.1420000000016</v>
      </c>
      <c r="AE11" s="840">
        <f>AD11+'SG&amp;A_Quarterly'!BY11</f>
        <v>11278.341000000002</v>
      </c>
      <c r="AF11" s="838">
        <f t="shared" ref="AF11" si="0">SUM(AF12:AF35)</f>
        <v>4044</v>
      </c>
      <c r="AG11" s="839">
        <f>AF11+'SG&amp;A_Quarterly'!CE11</f>
        <v>8205.2000000000007</v>
      </c>
      <c r="AH11" s="839">
        <f>AG11+'SG&amp;A_Quarterly'!CH11</f>
        <v>13508.339</v>
      </c>
      <c r="AI11" s="840"/>
    </row>
    <row r="12" spans="1:35" s="4" customFormat="1" ht="16.2" customHeight="1" outlineLevel="1" x14ac:dyDescent="0.4">
      <c r="A12" s="156"/>
      <c r="B12" s="112" t="str">
        <f>'SG&amp;A_Quarterly'!B12</f>
        <v>복리후생비</v>
      </c>
      <c r="C12" s="113" t="str">
        <f>'SG&amp;A_Quarterly'!C12</f>
        <v>Employee Benefits</v>
      </c>
      <c r="D12" s="756">
        <v>128.41</v>
      </c>
      <c r="E12" s="757">
        <v>312.09100000000001</v>
      </c>
      <c r="F12" s="757">
        <v>472.35</v>
      </c>
      <c r="G12" s="378">
        <v>664.06700000000001</v>
      </c>
      <c r="H12" s="756">
        <v>206.15600000000001</v>
      </c>
      <c r="I12" s="757">
        <v>444.096</v>
      </c>
      <c r="J12" s="757">
        <v>683.39499999999998</v>
      </c>
      <c r="K12" s="378">
        <v>910.00299999999993</v>
      </c>
      <c r="L12" s="756">
        <v>213.88800000000001</v>
      </c>
      <c r="M12" s="757">
        <v>406.45600000000002</v>
      </c>
      <c r="N12" s="757">
        <v>638.81100000000004</v>
      </c>
      <c r="O12" s="378">
        <v>840.827</v>
      </c>
      <c r="P12" s="756">
        <v>189.59700000000001</v>
      </c>
      <c r="Q12" s="757">
        <v>502.95000000000005</v>
      </c>
      <c r="R12" s="757">
        <v>787.625</v>
      </c>
      <c r="S12" s="378">
        <v>1084.4470000000001</v>
      </c>
      <c r="T12" s="756">
        <f>'SG&amp;A_Quarterly'!AR12</f>
        <v>454.86599999999999</v>
      </c>
      <c r="U12" s="757">
        <f>T12+'SG&amp;A_Quarterly'!AU12</f>
        <v>721.74998600000004</v>
      </c>
      <c r="V12" s="757">
        <f>U12+'SG&amp;A_Quarterly'!AX12</f>
        <v>1062.000528</v>
      </c>
      <c r="W12" s="378">
        <f>V12+'SG&amp;A_Quarterly'!BA12</f>
        <v>1591.4305330000002</v>
      </c>
      <c r="X12" s="756">
        <f>'SG&amp;A_Quarterly'!BD12</f>
        <v>233.44264999999999</v>
      </c>
      <c r="Y12" s="757">
        <f>X12+'SG&amp;A_Quarterly'!BG12</f>
        <v>538.74420599999996</v>
      </c>
      <c r="Z12" s="757">
        <f>Y12+'SG&amp;A_Quarterly'!BJ12</f>
        <v>887.63666699999999</v>
      </c>
      <c r="AA12" s="378">
        <f>Z12+'SG&amp;A_Quarterly'!BM12</f>
        <v>1434.3596669999999</v>
      </c>
      <c r="AB12" s="756">
        <f>'SG&amp;A_Quarterly'!BP12</f>
        <v>278.99400000000003</v>
      </c>
      <c r="AC12" s="757">
        <f>AB12+'SG&amp;A_Quarterly'!BS12</f>
        <v>824.74900000000002</v>
      </c>
      <c r="AD12" s="757">
        <f>AC12+'SG&amp;A_Quarterly'!BV12</f>
        <v>1262.771</v>
      </c>
      <c r="AE12" s="378">
        <f>AD12+'SG&amp;A_Quarterly'!BY12</f>
        <v>2094.0329999999999</v>
      </c>
      <c r="AF12" s="756">
        <f>'SG&amp;A_Quarterly'!CB12</f>
        <v>572</v>
      </c>
      <c r="AG12" s="906" t="s">
        <v>444</v>
      </c>
      <c r="AH12" s="907"/>
      <c r="AI12" s="908"/>
    </row>
    <row r="13" spans="1:35" s="5" customFormat="1" ht="16.2" customHeight="1" outlineLevel="1" x14ac:dyDescent="0.4">
      <c r="A13" s="156"/>
      <c r="B13" s="112" t="str">
        <f>'SG&amp;A_Quarterly'!B13</f>
        <v>판매보증비</v>
      </c>
      <c r="C13" s="113" t="str">
        <f>'SG&amp;A_Quarterly'!C13</f>
        <v>Warranty Expenses</v>
      </c>
      <c r="D13" s="756">
        <v>108.063</v>
      </c>
      <c r="E13" s="757">
        <v>210.745</v>
      </c>
      <c r="F13" s="757">
        <v>445.47900000000004</v>
      </c>
      <c r="G13" s="378">
        <v>707.80200000000002</v>
      </c>
      <c r="H13" s="756">
        <v>97.972999999999999</v>
      </c>
      <c r="I13" s="757">
        <v>351.976</v>
      </c>
      <c r="J13" s="757">
        <v>536.09699999999998</v>
      </c>
      <c r="K13" s="378">
        <v>706.80700000000002</v>
      </c>
      <c r="L13" s="756">
        <v>92.710999999999999</v>
      </c>
      <c r="M13" s="757">
        <v>169.142</v>
      </c>
      <c r="N13" s="757">
        <v>337.76099999999997</v>
      </c>
      <c r="O13" s="378">
        <v>537.25800000000004</v>
      </c>
      <c r="P13" s="756">
        <v>42.658999999999999</v>
      </c>
      <c r="Q13" s="757">
        <v>237.08599999999998</v>
      </c>
      <c r="R13" s="757">
        <v>352.67499999999995</v>
      </c>
      <c r="S13" s="378">
        <v>513.2639999999999</v>
      </c>
      <c r="T13" s="756">
        <f>'SG&amp;A_Quarterly'!AR13</f>
        <v>203.87299999999999</v>
      </c>
      <c r="U13" s="757">
        <f>T13+'SG&amp;A_Quarterly'!AU13</f>
        <v>436.73104599999999</v>
      </c>
      <c r="V13" s="757">
        <f>U13+'SG&amp;A_Quarterly'!AX13</f>
        <v>718.03424199999995</v>
      </c>
      <c r="W13" s="378">
        <f>V13+'SG&amp;A_Quarterly'!BA13</f>
        <v>1159.752673</v>
      </c>
      <c r="X13" s="756">
        <f>'SG&amp;A_Quarterly'!BD13</f>
        <v>64.267548000000005</v>
      </c>
      <c r="Y13" s="757">
        <f>X13+'SG&amp;A_Quarterly'!BG13</f>
        <v>383.239011</v>
      </c>
      <c r="Z13" s="757">
        <f>Y13+'SG&amp;A_Quarterly'!BJ13</f>
        <v>677.75857299999996</v>
      </c>
      <c r="AA13" s="378">
        <f>Z13+'SG&amp;A_Quarterly'!BM13</f>
        <v>1046.0455729999999</v>
      </c>
      <c r="AB13" s="756">
        <f>'SG&amp;A_Quarterly'!BP13</f>
        <v>132.08099999999999</v>
      </c>
      <c r="AC13" s="757">
        <f>AB13+'SG&amp;A_Quarterly'!BS13</f>
        <v>464.51099999999997</v>
      </c>
      <c r="AD13" s="757">
        <f>AC13+'SG&amp;A_Quarterly'!BV13</f>
        <v>832.07299999999998</v>
      </c>
      <c r="AE13" s="378">
        <f>AD13+'SG&amp;A_Quarterly'!BY13</f>
        <v>883.61500000000001</v>
      </c>
      <c r="AF13" s="756">
        <f>'SG&amp;A_Quarterly'!CB13</f>
        <v>110</v>
      </c>
      <c r="AG13" s="906"/>
      <c r="AH13" s="907"/>
      <c r="AI13" s="908"/>
    </row>
    <row r="14" spans="1:35" ht="16.2" customHeight="1" outlineLevel="1" x14ac:dyDescent="0.4">
      <c r="B14" s="112" t="str">
        <f>'SG&amp;A_Quarterly'!B14</f>
        <v>주식보상비용</v>
      </c>
      <c r="C14" s="113" t="str">
        <f>'SG&amp;A_Quarterly'!C14</f>
        <v>Share-based Compensation</v>
      </c>
      <c r="D14" s="756">
        <v>21.449000000000002</v>
      </c>
      <c r="E14" s="757">
        <v>42.898000000000003</v>
      </c>
      <c r="F14" s="757">
        <v>64.347000000000008</v>
      </c>
      <c r="G14" s="378">
        <v>79.815000000000012</v>
      </c>
      <c r="H14" s="756">
        <v>3.5070000000000001</v>
      </c>
      <c r="I14" s="757">
        <v>7.0140000000000002</v>
      </c>
      <c r="J14" s="757">
        <v>8.1829999999999998</v>
      </c>
      <c r="K14" s="378">
        <v>8.1820000000000004</v>
      </c>
      <c r="L14" s="756" t="s">
        <v>126</v>
      </c>
      <c r="M14" s="757">
        <v>0</v>
      </c>
      <c r="N14" s="757">
        <v>0</v>
      </c>
      <c r="O14" s="378">
        <v>0</v>
      </c>
      <c r="P14" s="756" t="s">
        <v>126</v>
      </c>
      <c r="Q14" s="757">
        <v>0</v>
      </c>
      <c r="R14" s="757">
        <v>0</v>
      </c>
      <c r="S14" s="378">
        <v>0</v>
      </c>
      <c r="T14" s="756">
        <f>'SG&amp;A_Quarterly'!AR14</f>
        <v>0</v>
      </c>
      <c r="U14" s="757">
        <f>T14+'SG&amp;A_Quarterly'!AU14</f>
        <v>0</v>
      </c>
      <c r="V14" s="757">
        <f>U14+'SG&amp;A_Quarterly'!AX14</f>
        <v>0</v>
      </c>
      <c r="W14" s="378">
        <f>V14+'SG&amp;A_Quarterly'!BA14</f>
        <v>0</v>
      </c>
      <c r="X14" s="756">
        <f>'SG&amp;A_Quarterly'!BD14</f>
        <v>11.087277</v>
      </c>
      <c r="Y14" s="757">
        <f>X14+'SG&amp;A_Quarterly'!BG14</f>
        <v>516.82656399999996</v>
      </c>
      <c r="Z14" s="757">
        <f>Y14+'SG&amp;A_Quarterly'!BJ14</f>
        <v>1022.772569</v>
      </c>
      <c r="AA14" s="378">
        <f>Z14+'SG&amp;A_Quarterly'!BM14</f>
        <v>1528.7185690000001</v>
      </c>
      <c r="AB14" s="756">
        <f>'SG&amp;A_Quarterly'!BP14</f>
        <v>420.39499999999998</v>
      </c>
      <c r="AC14" s="757">
        <f>AB14+'SG&amp;A_Quarterly'!BS14</f>
        <v>787.14699999999993</v>
      </c>
      <c r="AD14" s="757">
        <f>AC14+'SG&amp;A_Quarterly'!BV14</f>
        <v>1358.0149999999999</v>
      </c>
      <c r="AE14" s="378">
        <f>AD14+'SG&amp;A_Quarterly'!BY14</f>
        <v>1958.11</v>
      </c>
      <c r="AF14" s="756">
        <f>'SG&amp;A_Quarterly'!CB14</f>
        <v>1220</v>
      </c>
      <c r="AG14" s="906"/>
      <c r="AH14" s="907"/>
      <c r="AI14" s="908"/>
    </row>
    <row r="15" spans="1:35" ht="16.2" customHeight="1" outlineLevel="1" x14ac:dyDescent="0.4">
      <c r="B15" s="112" t="str">
        <f>'SG&amp;A_Quarterly'!B15</f>
        <v>여비교통비</v>
      </c>
      <c r="C15" s="113" t="str">
        <f>'SG&amp;A_Quarterly'!C15</f>
        <v>Travel and Transportation Expenses</v>
      </c>
      <c r="D15" s="756">
        <v>86.313000000000002</v>
      </c>
      <c r="E15" s="757">
        <v>208.16500000000002</v>
      </c>
      <c r="F15" s="757">
        <v>311.15000000000003</v>
      </c>
      <c r="G15" s="378">
        <v>432.93000000000006</v>
      </c>
      <c r="H15" s="756">
        <v>115.982</v>
      </c>
      <c r="I15" s="757">
        <v>227.654</v>
      </c>
      <c r="J15" s="757">
        <v>297.65499999999997</v>
      </c>
      <c r="K15" s="378">
        <v>398.91499999999996</v>
      </c>
      <c r="L15" s="756">
        <v>45.539000000000001</v>
      </c>
      <c r="M15" s="757">
        <v>34.498000000000005</v>
      </c>
      <c r="N15" s="757">
        <v>33.779000000000003</v>
      </c>
      <c r="O15" s="378">
        <v>38.985000000000007</v>
      </c>
      <c r="P15" s="756">
        <v>1.6359999999999999</v>
      </c>
      <c r="Q15" s="757">
        <v>2.6779999999999999</v>
      </c>
      <c r="R15" s="757">
        <v>3.9609999999999999</v>
      </c>
      <c r="S15" s="378">
        <v>7.3680000000000003</v>
      </c>
      <c r="T15" s="756">
        <f>'SG&amp;A_Quarterly'!AR15</f>
        <v>27.038</v>
      </c>
      <c r="U15" s="757">
        <f>T15+'SG&amp;A_Quarterly'!AU15</f>
        <v>110.10534</v>
      </c>
      <c r="V15" s="757">
        <f>U15+'SG&amp;A_Quarterly'!AX15</f>
        <v>131.529067</v>
      </c>
      <c r="W15" s="378">
        <f>V15+'SG&amp;A_Quarterly'!BA15</f>
        <v>312.86421499999994</v>
      </c>
      <c r="X15" s="756">
        <f>'SG&amp;A_Quarterly'!BD15</f>
        <v>297.81257699999998</v>
      </c>
      <c r="Y15" s="757">
        <f>X15+'SG&amp;A_Quarterly'!BG15</f>
        <v>503.29296799999997</v>
      </c>
      <c r="Z15" s="757">
        <f>Y15+'SG&amp;A_Quarterly'!BJ15</f>
        <v>833.04172199999994</v>
      </c>
      <c r="AA15" s="378">
        <f>Z15+'SG&amp;A_Quarterly'!BM15</f>
        <v>1011.6017219999999</v>
      </c>
      <c r="AB15" s="756">
        <f>'SG&amp;A_Quarterly'!BP15</f>
        <v>360.69</v>
      </c>
      <c r="AC15" s="757">
        <f>AB15+'SG&amp;A_Quarterly'!BS15</f>
        <v>658.49900000000002</v>
      </c>
      <c r="AD15" s="757">
        <f>AC15+'SG&amp;A_Quarterly'!BV15</f>
        <v>860.11800000000005</v>
      </c>
      <c r="AE15" s="378">
        <f>AD15+'SG&amp;A_Quarterly'!BY15</f>
        <v>1231.723</v>
      </c>
      <c r="AF15" s="756">
        <f>'SG&amp;A_Quarterly'!CB15</f>
        <v>341</v>
      </c>
      <c r="AG15" s="906"/>
      <c r="AH15" s="907"/>
      <c r="AI15" s="908"/>
    </row>
    <row r="16" spans="1:35" ht="16.2" customHeight="1" outlineLevel="1" x14ac:dyDescent="0.4">
      <c r="B16" s="112" t="str">
        <f>'SG&amp;A_Quarterly'!B16</f>
        <v>접대비</v>
      </c>
      <c r="C16" s="113" t="str">
        <f>'SG&amp;A_Quarterly'!C16</f>
        <v>Entertainment Expenses</v>
      </c>
      <c r="D16" s="756">
        <v>6.98</v>
      </c>
      <c r="E16" s="757">
        <v>9.0739999999999998</v>
      </c>
      <c r="F16" s="757">
        <v>12.974</v>
      </c>
      <c r="G16" s="378">
        <v>19.853999999999999</v>
      </c>
      <c r="H16" s="756">
        <v>8.3049999999999997</v>
      </c>
      <c r="I16" s="757">
        <v>22.417999999999999</v>
      </c>
      <c r="J16" s="757">
        <v>33.747</v>
      </c>
      <c r="K16" s="378">
        <v>108.90300000000001</v>
      </c>
      <c r="L16" s="756">
        <v>6.5110000000000001</v>
      </c>
      <c r="M16" s="757">
        <v>13.577</v>
      </c>
      <c r="N16" s="757">
        <v>28.135999999999999</v>
      </c>
      <c r="O16" s="378">
        <v>52.593999999999994</v>
      </c>
      <c r="P16" s="756">
        <v>4.38</v>
      </c>
      <c r="Q16" s="757">
        <v>16.231999999999999</v>
      </c>
      <c r="R16" s="757">
        <v>26.354999999999997</v>
      </c>
      <c r="S16" s="378">
        <v>37.125</v>
      </c>
      <c r="T16" s="756">
        <f>'SG&amp;A_Quarterly'!AR16</f>
        <v>0.79100000000000004</v>
      </c>
      <c r="U16" s="757">
        <f>T16+'SG&amp;A_Quarterly'!AU16</f>
        <v>15.824637000000001</v>
      </c>
      <c r="V16" s="757">
        <f>U16+'SG&amp;A_Quarterly'!AX16</f>
        <v>28.413127000000003</v>
      </c>
      <c r="W16" s="378">
        <f>V16+'SG&amp;A_Quarterly'!BA16</f>
        <v>58.869182000000002</v>
      </c>
      <c r="X16" s="756">
        <f>'SG&amp;A_Quarterly'!BD16</f>
        <v>57.180141000000006</v>
      </c>
      <c r="Y16" s="757">
        <f>X16+'SG&amp;A_Quarterly'!BG16</f>
        <v>93.565931000000006</v>
      </c>
      <c r="Z16" s="757">
        <f>Y16+'SG&amp;A_Quarterly'!BJ16</f>
        <v>133.63045400000001</v>
      </c>
      <c r="AA16" s="378">
        <f>Z16+'SG&amp;A_Quarterly'!BM16</f>
        <v>180.05645400000003</v>
      </c>
      <c r="AB16" s="756">
        <f>'SG&amp;A_Quarterly'!BP16</f>
        <v>49.115000000000002</v>
      </c>
      <c r="AC16" s="757">
        <f>AB16+'SG&amp;A_Quarterly'!BS16</f>
        <v>110.977</v>
      </c>
      <c r="AD16" s="757">
        <f>AC16+'SG&amp;A_Quarterly'!BV16</f>
        <v>157.43900000000002</v>
      </c>
      <c r="AE16" s="378">
        <f>AD16+'SG&amp;A_Quarterly'!BY16</f>
        <v>236.85900000000004</v>
      </c>
      <c r="AF16" s="756">
        <f>'SG&amp;A_Quarterly'!CB16</f>
        <v>86</v>
      </c>
      <c r="AG16" s="906"/>
      <c r="AH16" s="907"/>
      <c r="AI16" s="908"/>
    </row>
    <row r="17" spans="1:35" ht="16.2" customHeight="1" outlineLevel="1" x14ac:dyDescent="0.4">
      <c r="B17" s="112" t="str">
        <f>'SG&amp;A_Quarterly'!B17</f>
        <v>통신비</v>
      </c>
      <c r="C17" s="113" t="str">
        <f>'SG&amp;A_Quarterly'!C17</f>
        <v>Communication Expenses</v>
      </c>
      <c r="D17" s="756">
        <v>7.8369999999999997</v>
      </c>
      <c r="E17" s="757">
        <v>15.872999999999999</v>
      </c>
      <c r="F17" s="757">
        <v>23.895</v>
      </c>
      <c r="G17" s="378">
        <v>29.384</v>
      </c>
      <c r="H17" s="756">
        <v>8.2189999999999994</v>
      </c>
      <c r="I17" s="757">
        <v>17.349</v>
      </c>
      <c r="J17" s="757">
        <v>25.823</v>
      </c>
      <c r="K17" s="378">
        <v>34.828000000000003</v>
      </c>
      <c r="L17" s="756">
        <v>9.0370000000000008</v>
      </c>
      <c r="M17" s="757">
        <v>17.600000000000001</v>
      </c>
      <c r="N17" s="757">
        <v>25.672000000000001</v>
      </c>
      <c r="O17" s="378">
        <v>33.83</v>
      </c>
      <c r="P17" s="756">
        <v>8.8840000000000003</v>
      </c>
      <c r="Q17" s="757">
        <v>17.362000000000002</v>
      </c>
      <c r="R17" s="757">
        <v>35.844000000000001</v>
      </c>
      <c r="S17" s="378">
        <v>35.844000000000001</v>
      </c>
      <c r="T17" s="756">
        <f>'SG&amp;A_Quarterly'!AR17</f>
        <v>8.4570000000000007</v>
      </c>
      <c r="U17" s="757">
        <f>T17+'SG&amp;A_Quarterly'!AU17</f>
        <v>15.634509000000001</v>
      </c>
      <c r="V17" s="757">
        <f>U17+'SG&amp;A_Quarterly'!AX17</f>
        <v>24.454280000000004</v>
      </c>
      <c r="W17" s="378">
        <f>V17+'SG&amp;A_Quarterly'!BA17</f>
        <v>36.580215000000003</v>
      </c>
      <c r="X17" s="756">
        <f>'SG&amp;A_Quarterly'!BD17</f>
        <v>14.199509000000001</v>
      </c>
      <c r="Y17" s="757">
        <f>X17+'SG&amp;A_Quarterly'!BG17</f>
        <v>25.901310000000002</v>
      </c>
      <c r="Z17" s="757">
        <f>Y17+'SG&amp;A_Quarterly'!BJ17</f>
        <v>35.874517000000004</v>
      </c>
      <c r="AA17" s="378">
        <f>Z17+'SG&amp;A_Quarterly'!BM17</f>
        <v>55.615517000000004</v>
      </c>
      <c r="AB17" s="756">
        <f>'SG&amp;A_Quarterly'!BP17</f>
        <v>12.244</v>
      </c>
      <c r="AC17" s="757">
        <f>AB17+'SG&amp;A_Quarterly'!BS17</f>
        <v>25.564999999999998</v>
      </c>
      <c r="AD17" s="757">
        <f>AC17+'SG&amp;A_Quarterly'!BV17</f>
        <v>38.323999999999998</v>
      </c>
      <c r="AE17" s="378">
        <f>AD17+'SG&amp;A_Quarterly'!BY17</f>
        <v>58.691999999999993</v>
      </c>
      <c r="AF17" s="756">
        <f>'SG&amp;A_Quarterly'!CB17</f>
        <v>16</v>
      </c>
      <c r="AG17" s="906"/>
      <c r="AH17" s="907"/>
      <c r="AI17" s="908"/>
    </row>
    <row r="18" spans="1:35" ht="16.2" customHeight="1" outlineLevel="1" x14ac:dyDescent="0.4">
      <c r="B18" s="112" t="str">
        <f>'SG&amp;A_Quarterly'!B18</f>
        <v>수도광열비</v>
      </c>
      <c r="C18" s="113" t="str">
        <f>'SG&amp;A_Quarterly'!C18</f>
        <v xml:space="preserve">Utilities </v>
      </c>
      <c r="D18" s="756">
        <v>24.66</v>
      </c>
      <c r="E18" s="757">
        <v>39.971000000000004</v>
      </c>
      <c r="F18" s="757">
        <v>60.966000000000008</v>
      </c>
      <c r="G18" s="378">
        <v>79.476000000000013</v>
      </c>
      <c r="H18" s="756">
        <v>21.155999999999999</v>
      </c>
      <c r="I18" s="757">
        <v>33.366</v>
      </c>
      <c r="J18" s="757">
        <v>49.972999999999999</v>
      </c>
      <c r="K18" s="378">
        <v>64.051000000000002</v>
      </c>
      <c r="L18" s="756">
        <v>18.751000000000001</v>
      </c>
      <c r="M18" s="757">
        <v>29.458000000000002</v>
      </c>
      <c r="N18" s="757">
        <v>43.448999999999998</v>
      </c>
      <c r="O18" s="378">
        <v>58.137999999999998</v>
      </c>
      <c r="P18" s="756">
        <v>27.149000000000001</v>
      </c>
      <c r="Q18" s="757">
        <v>42.904000000000003</v>
      </c>
      <c r="R18" s="757">
        <v>63.942000000000007</v>
      </c>
      <c r="S18" s="378">
        <v>82.864000000000004</v>
      </c>
      <c r="T18" s="756">
        <f>'SG&amp;A_Quarterly'!AR18</f>
        <v>35.082999999999998</v>
      </c>
      <c r="U18" s="757">
        <f>T18+'SG&amp;A_Quarterly'!AU18</f>
        <v>68.677800000000005</v>
      </c>
      <c r="V18" s="757">
        <f>U18+'SG&amp;A_Quarterly'!AX18</f>
        <v>112.92162200000001</v>
      </c>
      <c r="W18" s="378">
        <f>V18+'SG&amp;A_Quarterly'!BA18</f>
        <v>134.354623</v>
      </c>
      <c r="X18" s="756">
        <f>'SG&amp;A_Quarterly'!BD18</f>
        <v>50.389559999999996</v>
      </c>
      <c r="Y18" s="757">
        <f>X18+'SG&amp;A_Quarterly'!BG18</f>
        <v>75.519048999999995</v>
      </c>
      <c r="Z18" s="757">
        <f>Y18+'SG&amp;A_Quarterly'!BJ18</f>
        <v>117.216128</v>
      </c>
      <c r="AA18" s="378">
        <f>Z18+'SG&amp;A_Quarterly'!BM18</f>
        <v>150.20812799999999</v>
      </c>
      <c r="AB18" s="756">
        <f>'SG&amp;A_Quarterly'!BP18</f>
        <v>56.122</v>
      </c>
      <c r="AC18" s="757">
        <f>AB18+'SG&amp;A_Quarterly'!BS18</f>
        <v>87.286000000000001</v>
      </c>
      <c r="AD18" s="757">
        <f>AC18+'SG&amp;A_Quarterly'!BV18</f>
        <v>142.11599999999999</v>
      </c>
      <c r="AE18" s="378">
        <f>AD18+'SG&amp;A_Quarterly'!BY18</f>
        <v>182.36199999999999</v>
      </c>
      <c r="AF18" s="756">
        <f>'SG&amp;A_Quarterly'!CB18</f>
        <v>70</v>
      </c>
      <c r="AG18" s="906"/>
      <c r="AH18" s="907"/>
      <c r="AI18" s="908"/>
    </row>
    <row r="19" spans="1:35" ht="16.2" customHeight="1" outlineLevel="1" x14ac:dyDescent="0.4">
      <c r="B19" s="112" t="str">
        <f>'SG&amp;A_Quarterly'!B19</f>
        <v>세금과공과금</v>
      </c>
      <c r="C19" s="113" t="str">
        <f>'SG&amp;A_Quarterly'!C19</f>
        <v>Taxes and Dues</v>
      </c>
      <c r="D19" s="756">
        <v>75.903999999999996</v>
      </c>
      <c r="E19" s="757">
        <v>86.215999999999994</v>
      </c>
      <c r="F19" s="757">
        <v>169.22899999999998</v>
      </c>
      <c r="G19" s="378">
        <v>187.95299999999997</v>
      </c>
      <c r="H19" s="756">
        <v>46.326000000000001</v>
      </c>
      <c r="I19" s="757">
        <v>58.676000000000002</v>
      </c>
      <c r="J19" s="757">
        <v>144.78100000000001</v>
      </c>
      <c r="K19" s="378">
        <v>175.70699999999999</v>
      </c>
      <c r="L19" s="756">
        <v>52.064</v>
      </c>
      <c r="M19" s="757">
        <v>66.606999999999999</v>
      </c>
      <c r="N19" s="757">
        <v>157.80099999999999</v>
      </c>
      <c r="O19" s="378">
        <v>194.363</v>
      </c>
      <c r="P19" s="756">
        <v>24.027999999999999</v>
      </c>
      <c r="Q19" s="757">
        <v>35.004999999999995</v>
      </c>
      <c r="R19" s="757">
        <v>133.596</v>
      </c>
      <c r="S19" s="378">
        <v>180.71100000000001</v>
      </c>
      <c r="T19" s="756">
        <f>'SG&amp;A_Quarterly'!AR19</f>
        <v>56.387999999999998</v>
      </c>
      <c r="U19" s="757">
        <f>T19+'SG&amp;A_Quarterly'!AU19</f>
        <v>70.786233999999993</v>
      </c>
      <c r="V19" s="757">
        <f>U19+'SG&amp;A_Quarterly'!AX19</f>
        <v>244.02423399999998</v>
      </c>
      <c r="W19" s="378">
        <f>V19+'SG&amp;A_Quarterly'!BA19</f>
        <v>375.008915</v>
      </c>
      <c r="X19" s="756">
        <f>'SG&amp;A_Quarterly'!BD19</f>
        <v>120.27807899999999</v>
      </c>
      <c r="Y19" s="757">
        <f>X19+'SG&amp;A_Quarterly'!BG19</f>
        <v>140.55493300000001</v>
      </c>
      <c r="Z19" s="757">
        <f>Y19+'SG&amp;A_Quarterly'!BJ19</f>
        <v>287.46477000000004</v>
      </c>
      <c r="AA19" s="378">
        <f>Z19+'SG&amp;A_Quarterly'!BM19</f>
        <v>418.02077000000008</v>
      </c>
      <c r="AB19" s="756">
        <f>'SG&amp;A_Quarterly'!BP19</f>
        <v>153.55099999999999</v>
      </c>
      <c r="AC19" s="757">
        <f>AB19+'SG&amp;A_Quarterly'!BS19</f>
        <v>173.58099999999999</v>
      </c>
      <c r="AD19" s="757">
        <f>AC19+'SG&amp;A_Quarterly'!BV19</f>
        <v>370.11699999999996</v>
      </c>
      <c r="AE19" s="378">
        <f>AD19+'SG&amp;A_Quarterly'!BY19</f>
        <v>535.61699999999996</v>
      </c>
      <c r="AF19" s="756">
        <f>'SG&amp;A_Quarterly'!CB19</f>
        <v>133</v>
      </c>
      <c r="AG19" s="906"/>
      <c r="AH19" s="907"/>
      <c r="AI19" s="908"/>
    </row>
    <row r="20" spans="1:35" ht="16.2" customHeight="1" outlineLevel="1" x14ac:dyDescent="0.4">
      <c r="B20" s="112" t="str">
        <f>'SG&amp;A_Quarterly'!B20</f>
        <v>지급임차료</v>
      </c>
      <c r="C20" s="113" t="str">
        <f>'SG&amp;A_Quarterly'!C20</f>
        <v>Rent Expenses</v>
      </c>
      <c r="D20" s="756">
        <v>77.096999999999994</v>
      </c>
      <c r="E20" s="757">
        <v>123.399</v>
      </c>
      <c r="F20" s="757">
        <v>161.76300000000001</v>
      </c>
      <c r="G20" s="378">
        <v>196.27600000000001</v>
      </c>
      <c r="H20" s="756">
        <v>3.7589999999999999</v>
      </c>
      <c r="I20" s="757">
        <v>9.1739999999999995</v>
      </c>
      <c r="J20" s="757">
        <v>14.222999999999999</v>
      </c>
      <c r="K20" s="378">
        <v>63.287999999999997</v>
      </c>
      <c r="L20" s="756">
        <v>5.165</v>
      </c>
      <c r="M20" s="757">
        <v>8.0419999999999998</v>
      </c>
      <c r="N20" s="757">
        <v>9.7940000000000005</v>
      </c>
      <c r="O20" s="378">
        <v>11.507000000000001</v>
      </c>
      <c r="P20" s="756">
        <v>1.29</v>
      </c>
      <c r="Q20" s="757">
        <v>2.5910000000000002</v>
      </c>
      <c r="R20" s="757">
        <v>3.9330000000000003</v>
      </c>
      <c r="S20" s="378">
        <v>5.3230000000000004</v>
      </c>
      <c r="T20" s="756">
        <f>'SG&amp;A_Quarterly'!AR20</f>
        <v>1.4219999999999999</v>
      </c>
      <c r="U20" s="757">
        <f>T20+'SG&amp;A_Quarterly'!AU20</f>
        <v>2.8506</v>
      </c>
      <c r="V20" s="757">
        <f>U20+'SG&amp;A_Quarterly'!AX20</f>
        <v>4.3163999999999998</v>
      </c>
      <c r="W20" s="378">
        <f>V20+'SG&amp;A_Quarterly'!BA20</f>
        <v>5.7470999999999997</v>
      </c>
      <c r="X20" s="756">
        <f>'SG&amp;A_Quarterly'!BD20</f>
        <v>3.39635</v>
      </c>
      <c r="Y20" s="757">
        <f>X20+'SG&amp;A_Quarterly'!BG20</f>
        <v>8.8019999999999996</v>
      </c>
      <c r="Z20" s="757">
        <f>Y20+'SG&amp;A_Quarterly'!BJ20</f>
        <v>11.514441999999999</v>
      </c>
      <c r="AA20" s="378">
        <f>Z20+'SG&amp;A_Quarterly'!BM20</f>
        <v>12.551441999999998</v>
      </c>
      <c r="AB20" s="756">
        <f>'SG&amp;A_Quarterly'!BP20</f>
        <v>3.0880000000000001</v>
      </c>
      <c r="AC20" s="757">
        <f>AB20+'SG&amp;A_Quarterly'!BS20</f>
        <v>6.5869999999999997</v>
      </c>
      <c r="AD20" s="757">
        <f>AC20+'SG&amp;A_Quarterly'!BV20</f>
        <v>11.923999999999999</v>
      </c>
      <c r="AE20" s="378">
        <f>AD20+'SG&amp;A_Quarterly'!BY20</f>
        <v>33.686999999999998</v>
      </c>
      <c r="AF20" s="756">
        <f>'SG&amp;A_Quarterly'!CB20</f>
        <v>61</v>
      </c>
      <c r="AG20" s="906"/>
      <c r="AH20" s="907"/>
      <c r="AI20" s="908"/>
    </row>
    <row r="21" spans="1:35" ht="16.2" customHeight="1" outlineLevel="1" x14ac:dyDescent="0.4">
      <c r="B21" s="112" t="str">
        <f>'SG&amp;A_Quarterly'!B21</f>
        <v>수선비</v>
      </c>
      <c r="C21" s="113" t="str">
        <f>'SG&amp;A_Quarterly'!C21</f>
        <v>Repairs and Maintenance Expenses</v>
      </c>
      <c r="D21" s="756">
        <v>0</v>
      </c>
      <c r="E21" s="757">
        <v>5.9420000000000002</v>
      </c>
      <c r="F21" s="757">
        <v>9.4969999999999999</v>
      </c>
      <c r="G21" s="378">
        <v>13.612</v>
      </c>
      <c r="H21" s="756">
        <v>2.6709999999999998</v>
      </c>
      <c r="I21" s="757">
        <v>2.702</v>
      </c>
      <c r="J21" s="757">
        <v>7.1920000000000002</v>
      </c>
      <c r="K21" s="378">
        <v>9.23</v>
      </c>
      <c r="L21" s="756">
        <v>0.155</v>
      </c>
      <c r="M21" s="757">
        <v>3.8179999999999996</v>
      </c>
      <c r="N21" s="757">
        <v>7.0449999999999999</v>
      </c>
      <c r="O21" s="378">
        <v>8.7129999999999992</v>
      </c>
      <c r="P21" s="756">
        <v>35.46</v>
      </c>
      <c r="Q21" s="757">
        <v>36.496000000000002</v>
      </c>
      <c r="R21" s="757">
        <v>37.587000000000003</v>
      </c>
      <c r="S21" s="378">
        <v>39.811000000000007</v>
      </c>
      <c r="T21" s="756">
        <f>'SG&amp;A_Quarterly'!AR21</f>
        <v>4.8040000000000003</v>
      </c>
      <c r="U21" s="757">
        <f>T21+'SG&amp;A_Quarterly'!AU21</f>
        <v>9.3760740000000009</v>
      </c>
      <c r="V21" s="757">
        <f>U21+'SG&amp;A_Quarterly'!AX21</f>
        <v>9.7810740000000003</v>
      </c>
      <c r="W21" s="378">
        <f>V21+'SG&amp;A_Quarterly'!BA21</f>
        <v>69.527923000000001</v>
      </c>
      <c r="X21" s="756">
        <f>'SG&amp;A_Quarterly'!BD21</f>
        <v>18.807259999999999</v>
      </c>
      <c r="Y21" s="757">
        <f>X21+'SG&amp;A_Quarterly'!BG21</f>
        <v>36.763338000000005</v>
      </c>
      <c r="Z21" s="757">
        <f>Y21+'SG&amp;A_Quarterly'!BJ21</f>
        <v>48.208467000000006</v>
      </c>
      <c r="AA21" s="378">
        <f>Z21+'SG&amp;A_Quarterly'!BM21</f>
        <v>52.887467000000008</v>
      </c>
      <c r="AB21" s="756">
        <f>'SG&amp;A_Quarterly'!BP21</f>
        <v>4.37</v>
      </c>
      <c r="AC21" s="757">
        <f>AB21+'SG&amp;A_Quarterly'!BS21</f>
        <v>7.2330000000000005</v>
      </c>
      <c r="AD21" s="757">
        <f>AC21+'SG&amp;A_Quarterly'!BV21</f>
        <v>30.507000000000001</v>
      </c>
      <c r="AE21" s="378">
        <f>AD21+'SG&amp;A_Quarterly'!BY21</f>
        <v>90.287999999999997</v>
      </c>
      <c r="AF21" s="756">
        <f>'SG&amp;A_Quarterly'!CB21</f>
        <v>0</v>
      </c>
      <c r="AG21" s="906"/>
      <c r="AH21" s="907"/>
      <c r="AI21" s="908"/>
    </row>
    <row r="22" spans="1:35" ht="16.2" customHeight="1" outlineLevel="1" x14ac:dyDescent="0.4">
      <c r="B22" s="112" t="str">
        <f>'SG&amp;A_Quarterly'!B22</f>
        <v>보험료</v>
      </c>
      <c r="C22" s="113" t="str">
        <f>'SG&amp;A_Quarterly'!C22</f>
        <v>Insurance Expenses</v>
      </c>
      <c r="D22" s="756">
        <v>2.9729999999999999</v>
      </c>
      <c r="E22" s="757">
        <v>16.468</v>
      </c>
      <c r="F22" s="757">
        <v>20.395</v>
      </c>
      <c r="G22" s="378">
        <v>38.451000000000001</v>
      </c>
      <c r="H22" s="756">
        <v>4.6740000000000004</v>
      </c>
      <c r="I22" s="757">
        <v>20.385999999999999</v>
      </c>
      <c r="J22" s="757">
        <v>30.856000000000002</v>
      </c>
      <c r="K22" s="378">
        <v>41.147000000000006</v>
      </c>
      <c r="L22" s="756">
        <v>15.972</v>
      </c>
      <c r="M22" s="757">
        <v>17.588000000000001</v>
      </c>
      <c r="N22" s="757">
        <v>23.913</v>
      </c>
      <c r="O22" s="378">
        <v>27.54</v>
      </c>
      <c r="P22" s="756">
        <v>4.2809999999999997</v>
      </c>
      <c r="Q22" s="757">
        <v>8.8260000000000005</v>
      </c>
      <c r="R22" s="757">
        <v>21.167000000000002</v>
      </c>
      <c r="S22" s="378">
        <v>33.751000000000005</v>
      </c>
      <c r="T22" s="756">
        <f>'SG&amp;A_Quarterly'!AR22</f>
        <v>9.6389999999999993</v>
      </c>
      <c r="U22" s="757">
        <f>T22+'SG&amp;A_Quarterly'!AU22</f>
        <v>26.525822999999999</v>
      </c>
      <c r="V22" s="757">
        <f>U22+'SG&amp;A_Quarterly'!AX22</f>
        <v>46.696795999999999</v>
      </c>
      <c r="W22" s="378">
        <f>V22+'SG&amp;A_Quarterly'!BA22</f>
        <v>90.979075999999992</v>
      </c>
      <c r="X22" s="756">
        <f>'SG&amp;A_Quarterly'!BD22</f>
        <v>19.556207999999998</v>
      </c>
      <c r="Y22" s="757">
        <f>X22+'SG&amp;A_Quarterly'!BG22</f>
        <v>33.128249999999994</v>
      </c>
      <c r="Z22" s="757">
        <f>Y22+'SG&amp;A_Quarterly'!BJ22</f>
        <v>48.464623999999993</v>
      </c>
      <c r="AA22" s="378">
        <f>Z22+'SG&amp;A_Quarterly'!BM22</f>
        <v>67.520623999999998</v>
      </c>
      <c r="AB22" s="756">
        <f>'SG&amp;A_Quarterly'!BP22</f>
        <v>17.312000000000001</v>
      </c>
      <c r="AC22" s="757">
        <f>AB22+'SG&amp;A_Quarterly'!BS22</f>
        <v>33.480000000000004</v>
      </c>
      <c r="AD22" s="757">
        <f>AC22+'SG&amp;A_Quarterly'!BV22</f>
        <v>50.373000000000005</v>
      </c>
      <c r="AE22" s="378">
        <f>AD22+'SG&amp;A_Quarterly'!BY22</f>
        <v>73.372</v>
      </c>
      <c r="AF22" s="756">
        <f>'SG&amp;A_Quarterly'!CB22</f>
        <v>22</v>
      </c>
      <c r="AG22" s="906"/>
      <c r="AH22" s="907"/>
      <c r="AI22" s="908"/>
    </row>
    <row r="23" spans="1:35" ht="16.2" customHeight="1" outlineLevel="1" x14ac:dyDescent="0.4">
      <c r="B23" s="112" t="str">
        <f>'SG&amp;A_Quarterly'!B23</f>
        <v>차량유지비</v>
      </c>
      <c r="C23" s="113" t="str">
        <f>'SG&amp;A_Quarterly'!C23</f>
        <v>Vehicle Maintenance Expenses</v>
      </c>
      <c r="D23" s="756">
        <v>11.45</v>
      </c>
      <c r="E23" s="757">
        <v>22.488999999999997</v>
      </c>
      <c r="F23" s="757">
        <v>34.711999999999996</v>
      </c>
      <c r="G23" s="378">
        <v>58.116999999999997</v>
      </c>
      <c r="H23" s="756">
        <v>23.681000000000001</v>
      </c>
      <c r="I23" s="757">
        <v>51.406999999999996</v>
      </c>
      <c r="J23" s="757">
        <v>82.962999999999994</v>
      </c>
      <c r="K23" s="378">
        <v>119.28</v>
      </c>
      <c r="L23" s="756">
        <v>32.064</v>
      </c>
      <c r="M23" s="757">
        <v>63.254000000000005</v>
      </c>
      <c r="N23" s="757">
        <v>95.789000000000001</v>
      </c>
      <c r="O23" s="378">
        <v>124.229</v>
      </c>
      <c r="P23" s="756">
        <v>34.915999999999997</v>
      </c>
      <c r="Q23" s="757">
        <v>76.924000000000007</v>
      </c>
      <c r="R23" s="757">
        <v>121.30700000000002</v>
      </c>
      <c r="S23" s="378">
        <v>162.57600000000002</v>
      </c>
      <c r="T23" s="756">
        <f>'SG&amp;A_Quarterly'!AR23</f>
        <v>44.570999999999998</v>
      </c>
      <c r="U23" s="757">
        <f>T23+'SG&amp;A_Quarterly'!AU23</f>
        <v>98.418982</v>
      </c>
      <c r="V23" s="757">
        <f>U23+'SG&amp;A_Quarterly'!AX23</f>
        <v>142.870159</v>
      </c>
      <c r="W23" s="378">
        <f>V23+'SG&amp;A_Quarterly'!BA23</f>
        <v>194.30017800000002</v>
      </c>
      <c r="X23" s="756">
        <f>'SG&amp;A_Quarterly'!BD23</f>
        <v>44.444368000000004</v>
      </c>
      <c r="Y23" s="757">
        <f>X23+'SG&amp;A_Quarterly'!BG23</f>
        <v>95.263418000000001</v>
      </c>
      <c r="Z23" s="757">
        <f>Y23+'SG&amp;A_Quarterly'!BJ23</f>
        <v>149.11260099999998</v>
      </c>
      <c r="AA23" s="378">
        <f>Z23+'SG&amp;A_Quarterly'!BM23</f>
        <v>205.48060099999998</v>
      </c>
      <c r="AB23" s="756">
        <f>'SG&amp;A_Quarterly'!BP23</f>
        <v>55.029000000000003</v>
      </c>
      <c r="AC23" s="757">
        <f>AB23+'SG&amp;A_Quarterly'!BS23</f>
        <v>119.173</v>
      </c>
      <c r="AD23" s="757">
        <f>AC23+'SG&amp;A_Quarterly'!BV23</f>
        <v>177.27600000000001</v>
      </c>
      <c r="AE23" s="378">
        <f>AD23+'SG&amp;A_Quarterly'!BY23</f>
        <v>256.11599999999999</v>
      </c>
      <c r="AF23" s="756">
        <f>'SG&amp;A_Quarterly'!CB23</f>
        <v>81</v>
      </c>
      <c r="AG23" s="906"/>
      <c r="AH23" s="907"/>
      <c r="AI23" s="908"/>
    </row>
    <row r="24" spans="1:35" ht="16.2" customHeight="1" outlineLevel="1" x14ac:dyDescent="0.4">
      <c r="B24" s="112" t="str">
        <f>'SG&amp;A_Quarterly'!B24</f>
        <v>운반비</v>
      </c>
      <c r="C24" s="113" t="str">
        <f>'SG&amp;A_Quarterly'!C24</f>
        <v>Freight and Delivery Expenses</v>
      </c>
      <c r="D24" s="756">
        <v>66.174000000000007</v>
      </c>
      <c r="E24" s="757">
        <v>185.35300000000001</v>
      </c>
      <c r="F24" s="757">
        <v>230.33100000000002</v>
      </c>
      <c r="G24" s="378">
        <v>326.06299999999999</v>
      </c>
      <c r="H24" s="756">
        <v>71.778000000000006</v>
      </c>
      <c r="I24" s="757">
        <v>168.51400000000001</v>
      </c>
      <c r="J24" s="757">
        <v>244.06400000000002</v>
      </c>
      <c r="K24" s="378">
        <v>306.47500000000002</v>
      </c>
      <c r="L24" s="756">
        <v>51.901000000000003</v>
      </c>
      <c r="M24" s="757">
        <v>110.48</v>
      </c>
      <c r="N24" s="757">
        <v>142.62100000000001</v>
      </c>
      <c r="O24" s="378">
        <v>179.45400000000001</v>
      </c>
      <c r="P24" s="756">
        <v>28.547000000000001</v>
      </c>
      <c r="Q24" s="757">
        <v>54.219000000000001</v>
      </c>
      <c r="R24" s="757">
        <v>79.021000000000001</v>
      </c>
      <c r="S24" s="378">
        <v>121.602</v>
      </c>
      <c r="T24" s="756">
        <f>'SG&amp;A_Quarterly'!AR24</f>
        <v>73.370999999999995</v>
      </c>
      <c r="U24" s="757">
        <f>T24+'SG&amp;A_Quarterly'!AU24</f>
        <v>164.45630299999999</v>
      </c>
      <c r="V24" s="757">
        <f>U24+'SG&amp;A_Quarterly'!AX24</f>
        <v>244.56790799999999</v>
      </c>
      <c r="W24" s="378">
        <f>V24+'SG&amp;A_Quarterly'!BA24</f>
        <v>398.529855</v>
      </c>
      <c r="X24" s="756">
        <f>'SG&amp;A_Quarterly'!BD24</f>
        <v>131.20969699999998</v>
      </c>
      <c r="Y24" s="757">
        <f>X24+'SG&amp;A_Quarterly'!BG24</f>
        <v>262.22530799999998</v>
      </c>
      <c r="Z24" s="757">
        <f>Y24+'SG&amp;A_Quarterly'!BJ24</f>
        <v>341.27546100000001</v>
      </c>
      <c r="AA24" s="378">
        <f>Z24+'SG&amp;A_Quarterly'!BM24</f>
        <v>407.39146099999999</v>
      </c>
      <c r="AB24" s="756">
        <f>'SG&amp;A_Quarterly'!BP24</f>
        <v>74.62</v>
      </c>
      <c r="AC24" s="757">
        <f>AB24+'SG&amp;A_Quarterly'!BS24</f>
        <v>151.74</v>
      </c>
      <c r="AD24" s="757">
        <f>AC24+'SG&amp;A_Quarterly'!BV24</f>
        <v>263.25700000000001</v>
      </c>
      <c r="AE24" s="378">
        <f>AD24+'SG&amp;A_Quarterly'!BY24</f>
        <v>407.01800000000003</v>
      </c>
      <c r="AF24" s="756">
        <f>'SG&amp;A_Quarterly'!CB24</f>
        <v>80</v>
      </c>
      <c r="AG24" s="906"/>
      <c r="AH24" s="907"/>
      <c r="AI24" s="908"/>
    </row>
    <row r="25" spans="1:35" ht="16.2" customHeight="1" outlineLevel="1" x14ac:dyDescent="0.4">
      <c r="B25" s="112" t="str">
        <f>'SG&amp;A_Quarterly'!B25</f>
        <v>교육훈련비</v>
      </c>
      <c r="C25" s="113" t="str">
        <f>'SG&amp;A_Quarterly'!C25</f>
        <v>Training and Education Expenses</v>
      </c>
      <c r="D25" s="756">
        <v>0.874</v>
      </c>
      <c r="E25" s="757">
        <v>3.7120000000000002</v>
      </c>
      <c r="F25" s="757">
        <v>7.0890000000000004</v>
      </c>
      <c r="G25" s="378">
        <v>7.4930000000000003</v>
      </c>
      <c r="H25" s="756">
        <v>2.2000000000000002</v>
      </c>
      <c r="I25" s="757">
        <v>4.008</v>
      </c>
      <c r="J25" s="757">
        <v>6.0630000000000006</v>
      </c>
      <c r="K25" s="378">
        <v>8.7900000000000009</v>
      </c>
      <c r="L25" s="756">
        <v>1.6020000000000001</v>
      </c>
      <c r="M25" s="757">
        <v>4.8719999999999999</v>
      </c>
      <c r="N25" s="757">
        <v>6.4589999999999996</v>
      </c>
      <c r="O25" s="378">
        <v>9.2029999999999994</v>
      </c>
      <c r="P25" s="756">
        <v>0.38800000000000001</v>
      </c>
      <c r="Q25" s="757">
        <v>2.1</v>
      </c>
      <c r="R25" s="757">
        <v>2.39</v>
      </c>
      <c r="S25" s="378">
        <v>4.43</v>
      </c>
      <c r="T25" s="756">
        <f>'SG&amp;A_Quarterly'!AR25</f>
        <v>0.94499999999999995</v>
      </c>
      <c r="U25" s="757">
        <f>T25+'SG&amp;A_Quarterly'!AU25</f>
        <v>3.1879949999999999</v>
      </c>
      <c r="V25" s="757">
        <f>U25+'SG&amp;A_Quarterly'!AX25</f>
        <v>4.1569950000000002</v>
      </c>
      <c r="W25" s="378">
        <f>V25+'SG&amp;A_Quarterly'!BA25</f>
        <v>4.674995</v>
      </c>
      <c r="X25" s="756">
        <f>'SG&amp;A_Quarterly'!BD25</f>
        <v>1.4710000000000001</v>
      </c>
      <c r="Y25" s="757">
        <f>X25+'SG&amp;A_Quarterly'!BG25</f>
        <v>6.1210000000000004</v>
      </c>
      <c r="Z25" s="757">
        <f>Y25+'SG&amp;A_Quarterly'!BJ25</f>
        <v>12.245335000000001</v>
      </c>
      <c r="AA25" s="378">
        <f>Z25+'SG&amp;A_Quarterly'!BM25</f>
        <v>15.806335000000001</v>
      </c>
      <c r="AB25" s="756">
        <f>'SG&amp;A_Quarterly'!BP25</f>
        <v>7.9550000000000001</v>
      </c>
      <c r="AC25" s="757">
        <f>AB25+'SG&amp;A_Quarterly'!BS25</f>
        <v>32.075000000000003</v>
      </c>
      <c r="AD25" s="757">
        <f>AC25+'SG&amp;A_Quarterly'!BV25</f>
        <v>33.516000000000005</v>
      </c>
      <c r="AE25" s="378">
        <f>AD25+'SG&amp;A_Quarterly'!BY25</f>
        <v>41.976000000000006</v>
      </c>
      <c r="AF25" s="756">
        <f>'SG&amp;A_Quarterly'!CB25</f>
        <v>6</v>
      </c>
      <c r="AG25" s="906"/>
      <c r="AH25" s="907"/>
      <c r="AI25" s="908"/>
    </row>
    <row r="26" spans="1:35" ht="16.2" customHeight="1" outlineLevel="1" x14ac:dyDescent="0.4">
      <c r="B26" s="112" t="str">
        <f>'SG&amp;A_Quarterly'!B26</f>
        <v>도서인쇄비</v>
      </c>
      <c r="C26" s="113" t="str">
        <f>'SG&amp;A_Quarterly'!C26</f>
        <v>Periodicals and Printing Expenses</v>
      </c>
      <c r="D26" s="756">
        <v>29.02</v>
      </c>
      <c r="E26" s="757">
        <v>67.477999999999994</v>
      </c>
      <c r="F26" s="757">
        <v>99.626000000000005</v>
      </c>
      <c r="G26" s="378">
        <v>153.51600000000002</v>
      </c>
      <c r="H26" s="756">
        <v>48.000999999999998</v>
      </c>
      <c r="I26" s="757">
        <v>100.404</v>
      </c>
      <c r="J26" s="757">
        <v>141.358</v>
      </c>
      <c r="K26" s="378">
        <v>199.42500000000001</v>
      </c>
      <c r="L26" s="756">
        <v>57.42</v>
      </c>
      <c r="M26" s="757">
        <v>118.13900000000001</v>
      </c>
      <c r="N26" s="757">
        <v>147.40100000000001</v>
      </c>
      <c r="O26" s="378">
        <v>190.55799999999999</v>
      </c>
      <c r="P26" s="756">
        <v>102.057</v>
      </c>
      <c r="Q26" s="757">
        <v>118.55200000000001</v>
      </c>
      <c r="R26" s="757">
        <v>129.14400000000001</v>
      </c>
      <c r="S26" s="378">
        <v>263.76</v>
      </c>
      <c r="T26" s="756">
        <f>'SG&amp;A_Quarterly'!AR26</f>
        <v>129.94999999999999</v>
      </c>
      <c r="U26" s="757">
        <f>T26+'SG&amp;A_Quarterly'!AU26</f>
        <v>155.47451999999998</v>
      </c>
      <c r="V26" s="757">
        <f>U26+'SG&amp;A_Quarterly'!AX26</f>
        <v>204.75540899999999</v>
      </c>
      <c r="W26" s="378">
        <f>V26+'SG&amp;A_Quarterly'!BA26</f>
        <v>270.25355500000001</v>
      </c>
      <c r="X26" s="756">
        <f>'SG&amp;A_Quarterly'!BD26</f>
        <v>64.948830000000001</v>
      </c>
      <c r="Y26" s="757">
        <f>X26+'SG&amp;A_Quarterly'!BG26</f>
        <v>123.71060900000001</v>
      </c>
      <c r="Z26" s="757">
        <f>Y26+'SG&amp;A_Quarterly'!BJ26</f>
        <v>142.96912700000001</v>
      </c>
      <c r="AA26" s="378">
        <f>Z26+'SG&amp;A_Quarterly'!BM26</f>
        <v>229.60412700000001</v>
      </c>
      <c r="AB26" s="756">
        <f>'SG&amp;A_Quarterly'!BP26</f>
        <v>96.108000000000004</v>
      </c>
      <c r="AC26" s="757">
        <f>AB26+'SG&amp;A_Quarterly'!BS26</f>
        <v>146.88499999999999</v>
      </c>
      <c r="AD26" s="757">
        <f>AC26+'SG&amp;A_Quarterly'!BV26</f>
        <v>291.21199999999999</v>
      </c>
      <c r="AE26" s="378">
        <f>AD26+'SG&amp;A_Quarterly'!BY26</f>
        <v>432.92899999999997</v>
      </c>
      <c r="AF26" s="756">
        <f>'SG&amp;A_Quarterly'!CB26</f>
        <v>38</v>
      </c>
      <c r="AG26" s="906"/>
      <c r="AH26" s="907"/>
      <c r="AI26" s="908"/>
    </row>
    <row r="27" spans="1:35" ht="16.2" customHeight="1" outlineLevel="1" x14ac:dyDescent="0.4">
      <c r="A27" s="158"/>
      <c r="B27" s="112" t="str">
        <f>'SG&amp;A_Quarterly'!B27</f>
        <v>사무용품비</v>
      </c>
      <c r="C27" s="113" t="str">
        <f>'SG&amp;A_Quarterly'!C27</f>
        <v>Office Supplies Expense</v>
      </c>
      <c r="D27" s="756">
        <v>8.7149999999999999</v>
      </c>
      <c r="E27" s="757">
        <v>17.224</v>
      </c>
      <c r="F27" s="757">
        <v>26.494</v>
      </c>
      <c r="G27" s="378">
        <v>38.475000000000001</v>
      </c>
      <c r="H27" s="756">
        <v>13.058999999999999</v>
      </c>
      <c r="I27" s="757">
        <v>25.722999999999999</v>
      </c>
      <c r="J27" s="757">
        <v>37.578000000000003</v>
      </c>
      <c r="K27" s="378">
        <v>48.650000000000006</v>
      </c>
      <c r="L27" s="756">
        <v>7.4219999999999997</v>
      </c>
      <c r="M27" s="757">
        <v>12.696999999999999</v>
      </c>
      <c r="N27" s="757">
        <v>18.332000000000001</v>
      </c>
      <c r="O27" s="378">
        <v>26.234000000000002</v>
      </c>
      <c r="P27" s="756">
        <v>2.8879999999999999</v>
      </c>
      <c r="Q27" s="757">
        <v>6.2029999999999994</v>
      </c>
      <c r="R27" s="757">
        <v>8.9349999999999987</v>
      </c>
      <c r="S27" s="378">
        <v>13.427</v>
      </c>
      <c r="T27" s="756">
        <f>'SG&amp;A_Quarterly'!AR27</f>
        <v>4.5759999999999996</v>
      </c>
      <c r="U27" s="757">
        <f>T27+'SG&amp;A_Quarterly'!AU27</f>
        <v>7.9400899999999996</v>
      </c>
      <c r="V27" s="757">
        <f>U27+'SG&amp;A_Quarterly'!AX27</f>
        <v>12.271656</v>
      </c>
      <c r="W27" s="378">
        <f>V27+'SG&amp;A_Quarterly'!BA27</f>
        <v>22.552302000000001</v>
      </c>
      <c r="X27" s="756">
        <f>'SG&amp;A_Quarterly'!BD27</f>
        <v>5.4849489999999994</v>
      </c>
      <c r="Y27" s="757">
        <f>X27+'SG&amp;A_Quarterly'!BG27</f>
        <v>8.9383289999999995</v>
      </c>
      <c r="Z27" s="757">
        <f>Y27+'SG&amp;A_Quarterly'!BJ27</f>
        <v>15.462865000000001</v>
      </c>
      <c r="AA27" s="378">
        <f>Z27+'SG&amp;A_Quarterly'!BM27</f>
        <v>19.398865000000001</v>
      </c>
      <c r="AB27" s="756">
        <f>'SG&amp;A_Quarterly'!BP27</f>
        <v>5.0010000000000003</v>
      </c>
      <c r="AC27" s="757">
        <f>AB27+'SG&amp;A_Quarterly'!BS27</f>
        <v>9.6280000000000001</v>
      </c>
      <c r="AD27" s="757">
        <f>AC27+'SG&amp;A_Quarterly'!BV27</f>
        <v>13.7</v>
      </c>
      <c r="AE27" s="378">
        <f>AD27+'SG&amp;A_Quarterly'!BY27</f>
        <v>18.641999999999999</v>
      </c>
      <c r="AF27" s="756">
        <f>'SG&amp;A_Quarterly'!CB27</f>
        <v>5</v>
      </c>
      <c r="AG27" s="906"/>
      <c r="AH27" s="907"/>
      <c r="AI27" s="908"/>
    </row>
    <row r="28" spans="1:35" ht="16.2" customHeight="1" outlineLevel="1" x14ac:dyDescent="0.4">
      <c r="A28" s="157"/>
      <c r="B28" s="112" t="str">
        <f>'SG&amp;A_Quarterly'!B28</f>
        <v>소모품비</v>
      </c>
      <c r="C28" s="113" t="str">
        <f>'SG&amp;A_Quarterly'!C28</f>
        <v>Supplies Expenses</v>
      </c>
      <c r="D28" s="756">
        <v>73.09</v>
      </c>
      <c r="E28" s="757">
        <v>135.79000000000002</v>
      </c>
      <c r="F28" s="757">
        <v>190.92900000000003</v>
      </c>
      <c r="G28" s="378">
        <v>253.26100000000002</v>
      </c>
      <c r="H28" s="756">
        <v>123.158</v>
      </c>
      <c r="I28" s="757">
        <v>192.315</v>
      </c>
      <c r="J28" s="757">
        <v>235.828</v>
      </c>
      <c r="K28" s="378">
        <v>252.99799999999999</v>
      </c>
      <c r="L28" s="756">
        <v>66.292000000000002</v>
      </c>
      <c r="M28" s="757">
        <v>83.02000000000001</v>
      </c>
      <c r="N28" s="757">
        <v>104.34500000000001</v>
      </c>
      <c r="O28" s="378">
        <v>130.80500000000001</v>
      </c>
      <c r="P28" s="756">
        <v>30.109000000000002</v>
      </c>
      <c r="Q28" s="757">
        <v>50.147000000000006</v>
      </c>
      <c r="R28" s="757">
        <v>84.02600000000001</v>
      </c>
      <c r="S28" s="378">
        <v>160.89800000000002</v>
      </c>
      <c r="T28" s="756">
        <f>'SG&amp;A_Quarterly'!AR28</f>
        <v>44.045000000000002</v>
      </c>
      <c r="U28" s="757">
        <f>T28+'SG&amp;A_Quarterly'!AU28</f>
        <v>81.81363300000001</v>
      </c>
      <c r="V28" s="757">
        <f>U28+'SG&amp;A_Quarterly'!AX28</f>
        <v>119.34963300000001</v>
      </c>
      <c r="W28" s="378">
        <f>V28+'SG&amp;A_Quarterly'!BA28</f>
        <v>144.54231900000002</v>
      </c>
      <c r="X28" s="756">
        <f>'SG&amp;A_Quarterly'!BD28</f>
        <v>15.141788</v>
      </c>
      <c r="Y28" s="757">
        <f>X28+'SG&amp;A_Quarterly'!BG28</f>
        <v>81.756460000000018</v>
      </c>
      <c r="Z28" s="757">
        <f>Y28+'SG&amp;A_Quarterly'!BJ28</f>
        <v>108.65973100000002</v>
      </c>
      <c r="AA28" s="378">
        <f>Z28+'SG&amp;A_Quarterly'!BM28</f>
        <v>137.94473100000002</v>
      </c>
      <c r="AB28" s="756">
        <f>'SG&amp;A_Quarterly'!BP28</f>
        <v>58.143999999999998</v>
      </c>
      <c r="AC28" s="757">
        <f>AB28+'SG&amp;A_Quarterly'!BS28</f>
        <v>105.81100000000001</v>
      </c>
      <c r="AD28" s="757">
        <f>AC28+'SG&amp;A_Quarterly'!BV28</f>
        <v>160.245</v>
      </c>
      <c r="AE28" s="378">
        <f>AD28+'SG&amp;A_Quarterly'!BY28</f>
        <v>195.06299999999999</v>
      </c>
      <c r="AF28" s="756">
        <f>'SG&amp;A_Quarterly'!CB28</f>
        <v>27</v>
      </c>
      <c r="AG28" s="906"/>
      <c r="AH28" s="907"/>
      <c r="AI28" s="908"/>
    </row>
    <row r="29" spans="1:35" ht="16.2" customHeight="1" outlineLevel="1" x14ac:dyDescent="0.4">
      <c r="B29" s="112" t="str">
        <f>'SG&amp;A_Quarterly'!B29</f>
        <v>판매촉진비</v>
      </c>
      <c r="C29" s="113" t="str">
        <f>'SG&amp;A_Quarterly'!C29</f>
        <v>Sales Promotion Expenses</v>
      </c>
      <c r="D29" s="756">
        <v>2.0779999999999998</v>
      </c>
      <c r="E29" s="757">
        <v>3.4630000000000001</v>
      </c>
      <c r="F29" s="757">
        <v>3.714</v>
      </c>
      <c r="G29" s="378">
        <v>12.876000000000001</v>
      </c>
      <c r="H29" s="756">
        <v>10.188000000000001</v>
      </c>
      <c r="I29" s="757">
        <v>15.716000000000001</v>
      </c>
      <c r="J29" s="757">
        <v>34.539000000000001</v>
      </c>
      <c r="K29" s="378">
        <v>47.385000000000005</v>
      </c>
      <c r="L29" s="756">
        <v>1.9530000000000001</v>
      </c>
      <c r="M29" s="757">
        <v>4.875</v>
      </c>
      <c r="N29" s="757">
        <v>38.720999999999997</v>
      </c>
      <c r="O29" s="378">
        <v>45.275999999999996</v>
      </c>
      <c r="P29" s="756">
        <v>38.247</v>
      </c>
      <c r="Q29" s="757">
        <v>147.78300000000002</v>
      </c>
      <c r="R29" s="757">
        <v>163.35100000000003</v>
      </c>
      <c r="S29" s="378">
        <v>168.73000000000002</v>
      </c>
      <c r="T29" s="756">
        <f>'SG&amp;A_Quarterly'!AR29</f>
        <v>31.414000000000001</v>
      </c>
      <c r="U29" s="757">
        <f>T29+'SG&amp;A_Quarterly'!AU29</f>
        <v>45.482714999999999</v>
      </c>
      <c r="V29" s="757">
        <f>U29+'SG&amp;A_Quarterly'!AX29</f>
        <v>57.477671000000001</v>
      </c>
      <c r="W29" s="378">
        <f>V29+'SG&amp;A_Quarterly'!BA29</f>
        <v>173.92851100000001</v>
      </c>
      <c r="X29" s="756">
        <f>'SG&amp;A_Quarterly'!BD29</f>
        <v>4.9169999999999998</v>
      </c>
      <c r="Y29" s="757">
        <f>X29+'SG&amp;A_Quarterly'!BG29</f>
        <v>4.9779999999999998</v>
      </c>
      <c r="Z29" s="757">
        <f>Y29+'SG&amp;A_Quarterly'!BJ29</f>
        <v>5.0449999999999999</v>
      </c>
      <c r="AA29" s="378">
        <f>Z29+'SG&amp;A_Quarterly'!BM29</f>
        <v>190.666</v>
      </c>
      <c r="AB29" s="756">
        <f>'SG&amp;A_Quarterly'!BP29</f>
        <v>0.75600000000000001</v>
      </c>
      <c r="AC29" s="757">
        <f>AB29+'SG&amp;A_Quarterly'!BS29</f>
        <v>3.3600000000000003</v>
      </c>
      <c r="AD29" s="757">
        <f>AC29+'SG&amp;A_Quarterly'!BV29</f>
        <v>5.5410000000000004</v>
      </c>
      <c r="AE29" s="378">
        <f>AD29+'SG&amp;A_Quarterly'!BY29</f>
        <v>22.245999999999999</v>
      </c>
      <c r="AF29" s="756">
        <f>'SG&amp;A_Quarterly'!CB29</f>
        <v>33</v>
      </c>
      <c r="AG29" s="906"/>
      <c r="AH29" s="907"/>
      <c r="AI29" s="908"/>
    </row>
    <row r="30" spans="1:35" ht="16.2" customHeight="1" outlineLevel="1" x14ac:dyDescent="0.4">
      <c r="B30" s="112" t="str">
        <f>'SG&amp;A_Quarterly'!B30</f>
        <v>대손상각비</v>
      </c>
      <c r="C30" s="113" t="str">
        <f>'SG&amp;A_Quarterly'!C30</f>
        <v>Bad Debt Expense</v>
      </c>
      <c r="D30" s="756">
        <v>0</v>
      </c>
      <c r="E30" s="757">
        <v>0</v>
      </c>
      <c r="F30" s="757">
        <v>0</v>
      </c>
      <c r="G30" s="378">
        <v>44.683999999999997</v>
      </c>
      <c r="H30" s="756">
        <v>0</v>
      </c>
      <c r="I30" s="757">
        <v>113.43899999999999</v>
      </c>
      <c r="J30" s="757">
        <v>211.83199999999999</v>
      </c>
      <c r="K30" s="378">
        <v>185.83499999999998</v>
      </c>
      <c r="L30" s="756">
        <v>76.081000000000003</v>
      </c>
      <c r="M30" s="757">
        <v>236.69499999999999</v>
      </c>
      <c r="N30" s="757">
        <v>296.041</v>
      </c>
      <c r="O30" s="378">
        <v>198.52699999999999</v>
      </c>
      <c r="P30" s="756">
        <v>93.861000000000004</v>
      </c>
      <c r="Q30" s="757">
        <v>83.515000000000001</v>
      </c>
      <c r="R30" s="757">
        <v>-31.585999999999999</v>
      </c>
      <c r="S30" s="378">
        <v>-101.2</v>
      </c>
      <c r="T30" s="756">
        <f>'SG&amp;A_Quarterly'!AR30</f>
        <v>33.86</v>
      </c>
      <c r="U30" s="757">
        <f>T30+'SG&amp;A_Quarterly'!AU30</f>
        <v>-3.4187549999999973</v>
      </c>
      <c r="V30" s="757">
        <f>U30+'SG&amp;A_Quarterly'!AX30</f>
        <v>56.746245000000002</v>
      </c>
      <c r="W30" s="378">
        <f>V30+'SG&amp;A_Quarterly'!BA30</f>
        <v>19.724862000000002</v>
      </c>
      <c r="X30" s="756">
        <f>'SG&amp;A_Quarterly'!BD30</f>
        <v>98.425214999999994</v>
      </c>
      <c r="Y30" s="757">
        <f>X30+'SG&amp;A_Quarterly'!BG30</f>
        <v>153.571302</v>
      </c>
      <c r="Z30" s="757">
        <f>Y30+'SG&amp;A_Quarterly'!BJ30</f>
        <v>268.475483</v>
      </c>
      <c r="AA30" s="378">
        <f>Z30+'SG&amp;A_Quarterly'!BM30</f>
        <v>449.689483</v>
      </c>
      <c r="AB30" s="756">
        <f>'SG&amp;A_Quarterly'!BP30</f>
        <v>-21.588000000000001</v>
      </c>
      <c r="AC30" s="757">
        <f>AB30+'SG&amp;A_Quarterly'!BS30</f>
        <v>377.90199999999999</v>
      </c>
      <c r="AD30" s="757">
        <f>AC30+'SG&amp;A_Quarterly'!BV30</f>
        <v>145.99099999999999</v>
      </c>
      <c r="AE30" s="378">
        <f>AD30+'SG&amp;A_Quarterly'!BY30</f>
        <v>36.432999999999979</v>
      </c>
      <c r="AF30" s="756">
        <f>'SG&amp;A_Quarterly'!CB30</f>
        <v>683</v>
      </c>
      <c r="AG30" s="906"/>
      <c r="AH30" s="907"/>
      <c r="AI30" s="908"/>
    </row>
    <row r="31" spans="1:35" ht="16.2" customHeight="1" outlineLevel="1" x14ac:dyDescent="0.4">
      <c r="B31" s="112" t="str">
        <f>'SG&amp;A_Quarterly'!B31</f>
        <v>수출제비용</v>
      </c>
      <c r="C31" s="113" t="str">
        <f>'SG&amp;A_Quarterly'!C31</f>
        <v>Export Expenses</v>
      </c>
      <c r="D31" s="756">
        <v>29.452000000000002</v>
      </c>
      <c r="E31" s="757">
        <v>66.195000000000007</v>
      </c>
      <c r="F31" s="757">
        <v>116.178</v>
      </c>
      <c r="G31" s="378">
        <v>170.822</v>
      </c>
      <c r="H31" s="756">
        <v>58.978999999999999</v>
      </c>
      <c r="I31" s="757">
        <v>135.542</v>
      </c>
      <c r="J31" s="757">
        <v>191.81800000000001</v>
      </c>
      <c r="K31" s="378">
        <v>180.38500000000002</v>
      </c>
      <c r="L31" s="756">
        <v>39.454000000000001</v>
      </c>
      <c r="M31" s="757">
        <v>75.927999999999997</v>
      </c>
      <c r="N31" s="757">
        <v>111.221</v>
      </c>
      <c r="O31" s="378">
        <v>143.02199999999999</v>
      </c>
      <c r="P31" s="756">
        <v>58.715000000000003</v>
      </c>
      <c r="Q31" s="757">
        <v>188.767</v>
      </c>
      <c r="R31" s="757">
        <v>275.48399999999998</v>
      </c>
      <c r="S31" s="378">
        <v>329.28099999999995</v>
      </c>
      <c r="T31" s="756">
        <f>'SG&amp;A_Quarterly'!AR31</f>
        <v>57.457999999999998</v>
      </c>
      <c r="U31" s="757">
        <f>T31+'SG&amp;A_Quarterly'!AU31</f>
        <v>91.057285999999991</v>
      </c>
      <c r="V31" s="757">
        <f>U31+'SG&amp;A_Quarterly'!AX31</f>
        <v>184.10990299999997</v>
      </c>
      <c r="W31" s="378">
        <f>V31+'SG&amp;A_Quarterly'!BA31</f>
        <v>229.47044999999997</v>
      </c>
      <c r="X31" s="756">
        <f>'SG&amp;A_Quarterly'!BD31</f>
        <v>52.9771</v>
      </c>
      <c r="Y31" s="757">
        <f>X31+'SG&amp;A_Quarterly'!BG31</f>
        <v>105.253533</v>
      </c>
      <c r="Z31" s="757">
        <f>Y31+'SG&amp;A_Quarterly'!BJ31</f>
        <v>172.74185</v>
      </c>
      <c r="AA31" s="378">
        <f>Z31+'SG&amp;A_Quarterly'!BM31</f>
        <v>208.87184999999999</v>
      </c>
      <c r="AB31" s="756">
        <f>'SG&amp;A_Quarterly'!BP31</f>
        <v>33.728000000000002</v>
      </c>
      <c r="AC31" s="757">
        <f>AB31+'SG&amp;A_Quarterly'!BS31</f>
        <v>85.322000000000003</v>
      </c>
      <c r="AD31" s="757">
        <f>AC31+'SG&amp;A_Quarterly'!BV31</f>
        <v>124.21100000000001</v>
      </c>
      <c r="AE31" s="378">
        <f>AD31+'SG&amp;A_Quarterly'!BY31</f>
        <v>193.47400000000002</v>
      </c>
      <c r="AF31" s="756">
        <f>'SG&amp;A_Quarterly'!CB31</f>
        <v>47</v>
      </c>
      <c r="AG31" s="906"/>
      <c r="AH31" s="907"/>
      <c r="AI31" s="908"/>
    </row>
    <row r="32" spans="1:35" s="7" customFormat="1" ht="16.2" customHeight="1" outlineLevel="1" x14ac:dyDescent="0.4">
      <c r="A32" s="156"/>
      <c r="B32" s="112" t="str">
        <f>'SG&amp;A_Quarterly'!B32</f>
        <v>견본비</v>
      </c>
      <c r="C32" s="113" t="str">
        <f>'SG&amp;A_Quarterly'!C32</f>
        <v>Sample Expenses</v>
      </c>
      <c r="D32" s="756">
        <v>87.614999999999995</v>
      </c>
      <c r="E32" s="757">
        <v>116.502</v>
      </c>
      <c r="F32" s="757">
        <v>253.73599999999999</v>
      </c>
      <c r="G32" s="378">
        <v>545.87400000000002</v>
      </c>
      <c r="H32" s="756">
        <v>137.71100000000001</v>
      </c>
      <c r="I32" s="757">
        <v>366.22900000000004</v>
      </c>
      <c r="J32" s="757">
        <v>554.08699999999999</v>
      </c>
      <c r="K32" s="378">
        <v>671.84699999999998</v>
      </c>
      <c r="L32" s="756">
        <v>71.923000000000002</v>
      </c>
      <c r="M32" s="757">
        <v>45.529000000000003</v>
      </c>
      <c r="N32" s="757">
        <v>68.244</v>
      </c>
      <c r="O32" s="378">
        <v>98.924000000000007</v>
      </c>
      <c r="P32" s="756">
        <v>80.766000000000005</v>
      </c>
      <c r="Q32" s="757">
        <v>119.976</v>
      </c>
      <c r="R32" s="757">
        <v>162.053</v>
      </c>
      <c r="S32" s="378">
        <v>306.964</v>
      </c>
      <c r="T32" s="756">
        <f>'SG&amp;A_Quarterly'!AR32</f>
        <v>133.68199999999999</v>
      </c>
      <c r="U32" s="757">
        <f>T32+'SG&amp;A_Quarterly'!AU32</f>
        <v>243.37112999999999</v>
      </c>
      <c r="V32" s="757">
        <f>U32+'SG&amp;A_Quarterly'!AX32</f>
        <v>349.277062</v>
      </c>
      <c r="W32" s="378">
        <f>V32+'SG&amp;A_Quarterly'!BA32</f>
        <v>745.19846299999995</v>
      </c>
      <c r="X32" s="756">
        <f>'SG&amp;A_Quarterly'!BD32</f>
        <v>379.64014199999997</v>
      </c>
      <c r="Y32" s="757">
        <f>X32+'SG&amp;A_Quarterly'!BG32</f>
        <v>682.04028799999992</v>
      </c>
      <c r="Z32" s="757">
        <f>Y32+'SG&amp;A_Quarterly'!BJ32</f>
        <v>930.05040599999984</v>
      </c>
      <c r="AA32" s="378">
        <f>Z32+'SG&amp;A_Quarterly'!BM32</f>
        <v>1402.8284059999999</v>
      </c>
      <c r="AB32" s="756">
        <f>'SG&amp;A_Quarterly'!BP32</f>
        <v>713.29899999999998</v>
      </c>
      <c r="AC32" s="757">
        <f>AB32+'SG&amp;A_Quarterly'!BS32</f>
        <v>1142.288</v>
      </c>
      <c r="AD32" s="757">
        <f>AC32+'SG&amp;A_Quarterly'!BV32</f>
        <v>1635.136</v>
      </c>
      <c r="AE32" s="378">
        <f>AD32+'SG&amp;A_Quarterly'!BY32</f>
        <v>1970.1759999999999</v>
      </c>
      <c r="AF32" s="756">
        <f>'SG&amp;A_Quarterly'!CB32</f>
        <v>324</v>
      </c>
      <c r="AG32" s="906"/>
      <c r="AH32" s="907"/>
      <c r="AI32" s="908"/>
    </row>
    <row r="33" spans="1:35" s="7" customFormat="1" ht="16.2" customHeight="1" outlineLevel="1" x14ac:dyDescent="0.4">
      <c r="A33" s="156"/>
      <c r="B33" s="112" t="str">
        <f>'SG&amp;A_Quarterly'!B33</f>
        <v>건물관리비</v>
      </c>
      <c r="C33" s="113" t="str">
        <f>'SG&amp;A_Quarterly'!C33</f>
        <v>Building Maintenance Expenses</v>
      </c>
      <c r="D33" s="756">
        <v>0</v>
      </c>
      <c r="E33" s="757">
        <v>0</v>
      </c>
      <c r="F33" s="757">
        <v>0</v>
      </c>
      <c r="G33" s="378">
        <v>0</v>
      </c>
      <c r="H33" s="756">
        <v>0</v>
      </c>
      <c r="I33" s="757">
        <v>0</v>
      </c>
      <c r="J33" s="757">
        <v>0</v>
      </c>
      <c r="K33" s="378">
        <v>0</v>
      </c>
      <c r="L33" s="756">
        <v>0</v>
      </c>
      <c r="M33" s="757">
        <v>0</v>
      </c>
      <c r="N33" s="757">
        <v>0</v>
      </c>
      <c r="O33" s="378">
        <v>0</v>
      </c>
      <c r="P33" s="756">
        <v>0</v>
      </c>
      <c r="Q33" s="757">
        <v>0</v>
      </c>
      <c r="R33" s="757">
        <v>0</v>
      </c>
      <c r="S33" s="378">
        <v>0</v>
      </c>
      <c r="T33" s="756">
        <f>'SG&amp;A_Quarterly'!AR33</f>
        <v>0</v>
      </c>
      <c r="U33" s="757">
        <f>T33+'SG&amp;A_Quarterly'!AU33</f>
        <v>0</v>
      </c>
      <c r="V33" s="757">
        <f>U33+'SG&amp;A_Quarterly'!AX33</f>
        <v>0</v>
      </c>
      <c r="W33" s="378">
        <f>V33+'SG&amp;A_Quarterly'!BA33</f>
        <v>0</v>
      </c>
      <c r="X33" s="756">
        <f>'SG&amp;A_Quarterly'!BD33</f>
        <v>0</v>
      </c>
      <c r="Y33" s="757">
        <f>X33+'SG&amp;A_Quarterly'!BG33</f>
        <v>0</v>
      </c>
      <c r="Z33" s="757">
        <f>Y33+'SG&amp;A_Quarterly'!BJ33</f>
        <v>0</v>
      </c>
      <c r="AA33" s="378">
        <f>Z33+'SG&amp;A_Quarterly'!BM33</f>
        <v>0</v>
      </c>
      <c r="AB33" s="756">
        <f>'SG&amp;A_Quarterly'!BP33</f>
        <v>0</v>
      </c>
      <c r="AC33" s="757">
        <f>AB33+'SG&amp;A_Quarterly'!BS33</f>
        <v>58.679000000000002</v>
      </c>
      <c r="AD33" s="757">
        <f>AC33+'SG&amp;A_Quarterly'!BV33</f>
        <v>150.88800000000001</v>
      </c>
      <c r="AE33" s="378">
        <f>AD33+'SG&amp;A_Quarterly'!BY33</f>
        <v>264.399</v>
      </c>
      <c r="AF33" s="756">
        <f>'SG&amp;A_Quarterly'!CB33</f>
        <v>89</v>
      </c>
      <c r="AG33" s="906"/>
      <c r="AH33" s="907"/>
      <c r="AI33" s="908"/>
    </row>
    <row r="34" spans="1:35" ht="16.2" customHeight="1" outlineLevel="1" x14ac:dyDescent="0.4">
      <c r="B34" s="112" t="str">
        <f>'SG&amp;A_Quarterly'!B34</f>
        <v>회의비</v>
      </c>
      <c r="C34" s="113" t="str">
        <f>'SG&amp;A_Quarterly'!C34</f>
        <v>Meeting Expenses</v>
      </c>
      <c r="D34" s="756">
        <v>1.0960000000000001</v>
      </c>
      <c r="E34" s="757">
        <v>4.0570000000000004</v>
      </c>
      <c r="F34" s="757">
        <v>6.8190000000000008</v>
      </c>
      <c r="G34" s="378">
        <v>6.8190000000000008</v>
      </c>
      <c r="H34" s="756">
        <v>2.15</v>
      </c>
      <c r="I34" s="757">
        <v>2.48</v>
      </c>
      <c r="J34" s="757">
        <v>2.48</v>
      </c>
      <c r="K34" s="378">
        <v>2.58</v>
      </c>
      <c r="L34" s="756" t="s">
        <v>3</v>
      </c>
      <c r="M34" s="757">
        <v>0</v>
      </c>
      <c r="N34" s="757">
        <v>0.06</v>
      </c>
      <c r="O34" s="378">
        <v>0.06</v>
      </c>
      <c r="P34" s="756">
        <v>0</v>
      </c>
      <c r="Q34" s="757">
        <v>0</v>
      </c>
      <c r="R34" s="757">
        <v>3.5390000000000001</v>
      </c>
      <c r="S34" s="378">
        <v>14.049999999999999</v>
      </c>
      <c r="T34" s="756">
        <f>'SG&amp;A_Quarterly'!AR34</f>
        <v>0</v>
      </c>
      <c r="U34" s="757">
        <f>T34+'SG&amp;A_Quarterly'!AU34</f>
        <v>0</v>
      </c>
      <c r="V34" s="757">
        <f>U34+'SG&amp;A_Quarterly'!AX34</f>
        <v>0</v>
      </c>
      <c r="W34" s="378">
        <f>V34+'SG&amp;A_Quarterly'!BA34</f>
        <v>0</v>
      </c>
      <c r="X34" s="756">
        <f>'SG&amp;A_Quarterly'!BD34</f>
        <v>4.2447929999999996</v>
      </c>
      <c r="Y34" s="757">
        <f>X34+'SG&amp;A_Quarterly'!BG34</f>
        <v>11.412658</v>
      </c>
      <c r="Z34" s="757">
        <f>Y34+'SG&amp;A_Quarterly'!BJ34</f>
        <v>21.453088000000001</v>
      </c>
      <c r="AA34" s="378">
        <f>Z34+'SG&amp;A_Quarterly'!BM34</f>
        <v>31.538088000000002</v>
      </c>
      <c r="AB34" s="756">
        <f>'SG&amp;A_Quarterly'!BP34</f>
        <v>16.366</v>
      </c>
      <c r="AC34" s="757">
        <f>AB34+'SG&amp;A_Quarterly'!BS34</f>
        <v>34.942999999999998</v>
      </c>
      <c r="AD34" s="757">
        <f>AC34+'SG&amp;A_Quarterly'!BV34</f>
        <v>48.792000000000002</v>
      </c>
      <c r="AE34" s="378">
        <f>AD34+'SG&amp;A_Quarterly'!BY34</f>
        <v>60.911000000000001</v>
      </c>
      <c r="AF34" s="756">
        <f>'SG&amp;A_Quarterly'!CB34</f>
        <v>0</v>
      </c>
      <c r="AG34" s="906"/>
      <c r="AH34" s="907"/>
      <c r="AI34" s="908"/>
    </row>
    <row r="35" spans="1:35" s="7" customFormat="1" ht="16.2" customHeight="1" outlineLevel="1" x14ac:dyDescent="0.4">
      <c r="A35" s="156"/>
      <c r="B35" s="112" t="str">
        <f>'SG&amp;A_Quarterly'!B35</f>
        <v>잡급</v>
      </c>
      <c r="C35" s="113" t="str">
        <f>'SG&amp;A_Quarterly'!C35</f>
        <v xml:space="preserve">Miscellaneous Wages </v>
      </c>
      <c r="D35" s="756" t="s">
        <v>126</v>
      </c>
      <c r="E35" s="757" t="s">
        <v>126</v>
      </c>
      <c r="F35" s="757" t="s">
        <v>126</v>
      </c>
      <c r="G35" s="378" t="s">
        <v>126</v>
      </c>
      <c r="H35" s="756" t="s">
        <v>126</v>
      </c>
      <c r="I35" s="757">
        <v>0</v>
      </c>
      <c r="J35" s="757">
        <v>0</v>
      </c>
      <c r="K35" s="378">
        <v>0</v>
      </c>
      <c r="L35" s="756" t="s">
        <v>126</v>
      </c>
      <c r="M35" s="757">
        <v>0</v>
      </c>
      <c r="N35" s="757">
        <v>0</v>
      </c>
      <c r="O35" s="378">
        <v>0</v>
      </c>
      <c r="P35" s="756" t="s">
        <v>126</v>
      </c>
      <c r="Q35" s="757">
        <v>0</v>
      </c>
      <c r="R35" s="757">
        <v>0</v>
      </c>
      <c r="S35" s="378">
        <v>0</v>
      </c>
      <c r="T35" s="756">
        <f>'SG&amp;A_Quarterly'!AR35</f>
        <v>2.2970000000000002</v>
      </c>
      <c r="U35" s="757">
        <f>T35+'SG&amp;A_Quarterly'!AU35</f>
        <v>2.2970000000000002</v>
      </c>
      <c r="V35" s="757">
        <f>U35+'SG&amp;A_Quarterly'!AX35</f>
        <v>2.2970000000000002</v>
      </c>
      <c r="W35" s="378">
        <f>V35+'SG&amp;A_Quarterly'!BA35</f>
        <v>2.2970000000000002</v>
      </c>
      <c r="X35" s="756">
        <f>'SG&amp;A_Quarterly'!BD35</f>
        <v>1.76</v>
      </c>
      <c r="Y35" s="757">
        <f>X35+'SG&amp;A_Quarterly'!BG35</f>
        <v>1.76</v>
      </c>
      <c r="Z35" s="757">
        <f>Y35+'SG&amp;A_Quarterly'!BJ35</f>
        <v>1.76</v>
      </c>
      <c r="AA35" s="378">
        <f>Z35+'SG&amp;A_Quarterly'!BM35</f>
        <v>1.76</v>
      </c>
      <c r="AB35" s="756">
        <f>'SG&amp;A_Quarterly'!BP35</f>
        <v>0</v>
      </c>
      <c r="AC35" s="757">
        <f>AB35+'SG&amp;A_Quarterly'!BS35</f>
        <v>0.6</v>
      </c>
      <c r="AD35" s="757">
        <f>AC35+'SG&amp;A_Quarterly'!BV35</f>
        <v>0.6</v>
      </c>
      <c r="AE35" s="378">
        <f>AD35+'SG&amp;A_Quarterly'!BY35</f>
        <v>0.6</v>
      </c>
      <c r="AF35" s="756">
        <f>'SG&amp;A_Quarterly'!CB35</f>
        <v>0</v>
      </c>
      <c r="AG35" s="906"/>
      <c r="AH35" s="907"/>
      <c r="AI35" s="908"/>
    </row>
    <row r="36" spans="1:35" s="7" customFormat="1" ht="16.2" customHeight="1" x14ac:dyDescent="0.4">
      <c r="A36" s="156"/>
      <c r="B36" s="114" t="str">
        <f>'SG&amp;A_Quarterly'!B36</f>
        <v>합 계</v>
      </c>
      <c r="C36" s="115" t="str">
        <f>'SG&amp;A_Quarterly'!C36</f>
        <v>Total</v>
      </c>
      <c r="D36" s="782">
        <f t="shared" ref="D36:AH36" si="1">SUM(D3:D11)</f>
        <v>2915.9580000000001</v>
      </c>
      <c r="E36" s="783">
        <f t="shared" si="1"/>
        <v>6310.8209999999999</v>
      </c>
      <c r="F36" s="783">
        <f t="shared" si="1"/>
        <v>9703.7529999999988</v>
      </c>
      <c r="G36" s="784">
        <f t="shared" si="1"/>
        <v>13226.923000000001</v>
      </c>
      <c r="H36" s="782">
        <f t="shared" si="1"/>
        <v>3828.41</v>
      </c>
      <c r="I36" s="783">
        <f t="shared" si="1"/>
        <v>9184.7670000000016</v>
      </c>
      <c r="J36" s="783">
        <f t="shared" si="1"/>
        <v>13284.265000000003</v>
      </c>
      <c r="K36" s="784">
        <f t="shared" si="1"/>
        <v>17698.573</v>
      </c>
      <c r="L36" s="782">
        <f t="shared" si="1"/>
        <v>3241.183</v>
      </c>
      <c r="M36" s="783">
        <f t="shared" si="1"/>
        <v>7635.652000000001</v>
      </c>
      <c r="N36" s="783">
        <f t="shared" si="1"/>
        <v>10966.718000000001</v>
      </c>
      <c r="O36" s="784">
        <f t="shared" si="1"/>
        <v>17480.809999999998</v>
      </c>
      <c r="P36" s="782">
        <f t="shared" si="1"/>
        <v>5055.1939999999995</v>
      </c>
      <c r="Q36" s="783">
        <f t="shared" si="1"/>
        <v>11092.179999999998</v>
      </c>
      <c r="R36" s="783">
        <f t="shared" si="1"/>
        <v>16237.041999999998</v>
      </c>
      <c r="S36" s="784">
        <f t="shared" si="1"/>
        <v>22782.467999999997</v>
      </c>
      <c r="T36" s="782">
        <f t="shared" si="1"/>
        <v>9876.7240000000002</v>
      </c>
      <c r="U36" s="783">
        <f t="shared" si="1"/>
        <v>19021.676189000002</v>
      </c>
      <c r="V36" s="783">
        <f t="shared" si="1"/>
        <v>27493.604775999996</v>
      </c>
      <c r="W36" s="784">
        <f t="shared" si="1"/>
        <v>39290.816356000003</v>
      </c>
      <c r="X36" s="782">
        <f t="shared" si="1"/>
        <v>10318.627559</v>
      </c>
      <c r="Y36" s="783">
        <f t="shared" si="1"/>
        <v>23493.001112000005</v>
      </c>
      <c r="Z36" s="783">
        <f t="shared" si="1"/>
        <v>35841.212921999999</v>
      </c>
      <c r="AA36" s="784">
        <f t="shared" si="1"/>
        <v>50826.681922000003</v>
      </c>
      <c r="AB36" s="782">
        <f t="shared" si="1"/>
        <v>13694.298999999999</v>
      </c>
      <c r="AC36" s="783">
        <f t="shared" si="1"/>
        <v>30019.816999999999</v>
      </c>
      <c r="AD36" s="783">
        <f t="shared" si="1"/>
        <v>47668.046999999991</v>
      </c>
      <c r="AE36" s="784">
        <f t="shared" si="1"/>
        <v>68684.934000000008</v>
      </c>
      <c r="AF36" s="782">
        <f t="shared" si="1"/>
        <v>22545</v>
      </c>
      <c r="AG36" s="783">
        <f t="shared" si="1"/>
        <v>43552</v>
      </c>
      <c r="AH36" s="783">
        <f t="shared" si="1"/>
        <v>69658.023000000016</v>
      </c>
      <c r="AI36" s="784"/>
    </row>
    <row r="37" spans="1:35" s="8" customFormat="1" ht="16.2" customHeight="1" x14ac:dyDescent="0.4">
      <c r="A37" s="156"/>
      <c r="B37" s="104"/>
      <c r="C37" s="104"/>
      <c r="D37" s="359"/>
      <c r="E37" s="359"/>
      <c r="F37" s="359"/>
      <c r="G37" s="359"/>
      <c r="H37" s="359"/>
      <c r="I37" s="359"/>
      <c r="J37" s="359"/>
      <c r="K37" s="359"/>
      <c r="L37" s="359"/>
      <c r="M37" s="359"/>
      <c r="N37" s="359"/>
      <c r="O37" s="359"/>
      <c r="P37" s="359"/>
      <c r="Q37" s="359"/>
      <c r="R37" s="359"/>
      <c r="S37" s="359"/>
      <c r="T37" s="359"/>
      <c r="U37" s="359"/>
      <c r="V37" s="359"/>
      <c r="W37" s="359"/>
      <c r="X37" s="359"/>
      <c r="Y37" s="359"/>
      <c r="Z37" s="359"/>
      <c r="AA37" s="359"/>
      <c r="AB37" s="359"/>
      <c r="AC37" s="359"/>
      <c r="AD37" s="359"/>
      <c r="AE37" s="359"/>
      <c r="AF37" s="359"/>
      <c r="AG37" s="359"/>
      <c r="AH37" s="359"/>
      <c r="AI37" s="359"/>
    </row>
    <row r="38" spans="1:35" ht="16.2" customHeight="1" x14ac:dyDescent="0.4">
      <c r="B38" s="104"/>
      <c r="C38" s="104"/>
    </row>
    <row r="39" spans="1:35" ht="16.2" customHeight="1" x14ac:dyDescent="0.4">
      <c r="B39" s="104"/>
      <c r="C39" s="104"/>
    </row>
    <row r="40" spans="1:35" ht="16.2" customHeight="1" x14ac:dyDescent="0.4">
      <c r="B40" s="104"/>
      <c r="C40" s="104"/>
    </row>
    <row r="41" spans="1:35" ht="16.2" customHeight="1" x14ac:dyDescent="0.4">
      <c r="B41" s="104"/>
      <c r="C41" s="104"/>
    </row>
    <row r="42" spans="1:35" ht="16.2" customHeight="1" x14ac:dyDescent="0.4">
      <c r="B42" s="104"/>
      <c r="C42" s="104"/>
    </row>
    <row r="43" spans="1:35" ht="16.2" customHeight="1" x14ac:dyDescent="0.4">
      <c r="B43" s="104"/>
      <c r="C43" s="104"/>
    </row>
    <row r="44" spans="1:35" ht="16.2" customHeight="1" x14ac:dyDescent="0.4">
      <c r="B44" s="104"/>
      <c r="C44" s="104"/>
    </row>
    <row r="45" spans="1:35" ht="16.2" customHeight="1" x14ac:dyDescent="0.4">
      <c r="A45" s="157"/>
      <c r="B45" s="104"/>
      <c r="C45" s="104"/>
    </row>
    <row r="46" spans="1:35" ht="16.2" customHeight="1" x14ac:dyDescent="0.4">
      <c r="A46" s="159"/>
      <c r="B46" s="104"/>
      <c r="C46" s="104"/>
    </row>
    <row r="47" spans="1:35" ht="16.2" customHeight="1" x14ac:dyDescent="0.4">
      <c r="A47" s="157"/>
      <c r="B47" s="104"/>
      <c r="C47" s="104"/>
    </row>
    <row r="48" spans="1:35" ht="16.2" customHeight="1" x14ac:dyDescent="0.4">
      <c r="A48" s="160"/>
      <c r="B48" s="104"/>
      <c r="C48" s="104"/>
    </row>
    <row r="49" spans="1:3" ht="16.2" customHeight="1" x14ac:dyDescent="0.4">
      <c r="A49" s="160"/>
      <c r="B49" s="104"/>
      <c r="C49" s="104"/>
    </row>
    <row r="50" spans="1:3" ht="16.2" customHeight="1" x14ac:dyDescent="0.4">
      <c r="A50" s="157"/>
      <c r="B50" s="104"/>
      <c r="C50" s="104"/>
    </row>
    <row r="51" spans="1:3" ht="16.2" customHeight="1" x14ac:dyDescent="0.4">
      <c r="A51" s="160"/>
      <c r="B51" s="104"/>
      <c r="C51" s="104"/>
    </row>
    <row r="52" spans="1:3" ht="16.2" customHeight="1" x14ac:dyDescent="0.4">
      <c r="A52" s="160"/>
      <c r="B52" s="104"/>
      <c r="C52" s="104"/>
    </row>
    <row r="53" spans="1:3" ht="16.2" customHeight="1" x14ac:dyDescent="0.4">
      <c r="A53" s="157"/>
      <c r="B53" s="104"/>
      <c r="C53" s="104"/>
    </row>
    <row r="54" spans="1:3" ht="16.2" customHeight="1" x14ac:dyDescent="0.4">
      <c r="A54" s="160"/>
      <c r="B54" s="104"/>
      <c r="C54" s="104"/>
    </row>
    <row r="55" spans="1:3" ht="16.2" customHeight="1" x14ac:dyDescent="0.4">
      <c r="A55" s="160"/>
      <c r="B55" s="104"/>
      <c r="C55" s="104"/>
    </row>
    <row r="56" spans="1:3" ht="16.2" customHeight="1" x14ac:dyDescent="0.4">
      <c r="A56" s="157"/>
      <c r="B56" s="104"/>
      <c r="C56" s="104"/>
    </row>
    <row r="57" spans="1:3" ht="16.2" customHeight="1" x14ac:dyDescent="0.4">
      <c r="A57" s="161"/>
      <c r="B57" s="104"/>
      <c r="C57" s="104"/>
    </row>
    <row r="58" spans="1:3" ht="16.2" customHeight="1" x14ac:dyDescent="0.4">
      <c r="A58" s="160"/>
      <c r="B58" s="104"/>
      <c r="C58" s="104"/>
    </row>
    <row r="59" spans="1:3" ht="16.2" customHeight="1" x14ac:dyDescent="0.4">
      <c r="A59" s="160"/>
      <c r="B59" s="104"/>
      <c r="C59" s="104"/>
    </row>
    <row r="60" spans="1:3" ht="16.2" customHeight="1" x14ac:dyDescent="0.4">
      <c r="A60" s="162"/>
      <c r="B60" s="104"/>
      <c r="C60" s="104"/>
    </row>
    <row r="61" spans="1:3" ht="16.2" customHeight="1" x14ac:dyDescent="0.4">
      <c r="B61" s="104"/>
      <c r="C61" s="104"/>
    </row>
    <row r="62" spans="1:3" ht="16.2" customHeight="1" x14ac:dyDescent="0.4">
      <c r="B62" s="104"/>
      <c r="C62" s="104"/>
    </row>
    <row r="63" spans="1:3" ht="16.2" customHeight="1" x14ac:dyDescent="0.4">
      <c r="B63" s="104"/>
      <c r="C63" s="104"/>
    </row>
    <row r="64" spans="1:3" ht="16.2" customHeight="1" x14ac:dyDescent="0.4">
      <c r="B64" s="104"/>
      <c r="C64" s="104"/>
    </row>
    <row r="65" spans="2:3" ht="16.2" customHeight="1" x14ac:dyDescent="0.4">
      <c r="B65" s="104"/>
      <c r="C65" s="104"/>
    </row>
    <row r="66" spans="2:3" ht="16.2" customHeight="1" x14ac:dyDescent="0.4">
      <c r="B66" s="104"/>
      <c r="C66" s="104"/>
    </row>
    <row r="67" spans="2:3" ht="16.2" customHeight="1" x14ac:dyDescent="0.4">
      <c r="B67" s="104"/>
      <c r="C67" s="104"/>
    </row>
    <row r="68" spans="2:3" ht="16.2" customHeight="1" x14ac:dyDescent="0.4">
      <c r="B68" s="104"/>
      <c r="C68" s="104"/>
    </row>
    <row r="69" spans="2:3" ht="16.2" customHeight="1" x14ac:dyDescent="0.4">
      <c r="B69" s="104"/>
      <c r="C69" s="104"/>
    </row>
    <row r="70" spans="2:3" ht="16.2" customHeight="1" x14ac:dyDescent="0.4">
      <c r="B70" s="104"/>
      <c r="C70" s="104"/>
    </row>
    <row r="71" spans="2:3" ht="16.2" customHeight="1" x14ac:dyDescent="0.4">
      <c r="B71" s="104"/>
      <c r="C71" s="104"/>
    </row>
    <row r="72" spans="2:3" ht="16.2" customHeight="1" x14ac:dyDescent="0.4">
      <c r="B72" s="104"/>
      <c r="C72" s="104"/>
    </row>
    <row r="73" spans="2:3" ht="16.2" customHeight="1" x14ac:dyDescent="0.4">
      <c r="B73" s="104"/>
      <c r="C73" s="104"/>
    </row>
    <row r="74" spans="2:3" ht="16.2" customHeight="1" x14ac:dyDescent="0.4">
      <c r="B74" s="104"/>
      <c r="C74" s="104"/>
    </row>
    <row r="75" spans="2:3" ht="16.2" customHeight="1" x14ac:dyDescent="0.4">
      <c r="B75" s="104"/>
      <c r="C75" s="104"/>
    </row>
    <row r="76" spans="2:3" ht="16.2" customHeight="1" x14ac:dyDescent="0.4">
      <c r="B76" s="104"/>
      <c r="C76" s="104"/>
    </row>
    <row r="77" spans="2:3" ht="16.2" customHeight="1" x14ac:dyDescent="0.4">
      <c r="B77" s="104"/>
      <c r="C77" s="104"/>
    </row>
    <row r="78" spans="2:3" ht="16.2" customHeight="1" x14ac:dyDescent="0.4">
      <c r="B78" s="104"/>
      <c r="C78" s="104"/>
    </row>
    <row r="79" spans="2:3" ht="16.2" customHeight="1" x14ac:dyDescent="0.4">
      <c r="B79" s="104"/>
      <c r="C79" s="104"/>
    </row>
    <row r="80" spans="2:3" ht="16.2" customHeight="1" x14ac:dyDescent="0.4">
      <c r="B80" s="104"/>
      <c r="C80" s="104"/>
    </row>
    <row r="81" spans="2:3" ht="16.2" customHeight="1" x14ac:dyDescent="0.4">
      <c r="B81" s="104"/>
      <c r="C81" s="104"/>
    </row>
    <row r="82" spans="2:3" ht="16.2" customHeight="1" x14ac:dyDescent="0.4">
      <c r="B82" s="104"/>
      <c r="C82" s="104"/>
    </row>
    <row r="83" spans="2:3" ht="16.2" customHeight="1" x14ac:dyDescent="0.4">
      <c r="B83" s="104"/>
      <c r="C83" s="104"/>
    </row>
    <row r="84" spans="2:3" ht="16.2" customHeight="1" x14ac:dyDescent="0.4">
      <c r="B84" s="104"/>
      <c r="C84" s="104"/>
    </row>
    <row r="85" spans="2:3" ht="16.2" customHeight="1" x14ac:dyDescent="0.4">
      <c r="B85" s="104"/>
      <c r="C85" s="104"/>
    </row>
    <row r="86" spans="2:3" ht="16.2" customHeight="1" x14ac:dyDescent="0.4">
      <c r="B86" s="104"/>
      <c r="C86" s="104"/>
    </row>
    <row r="87" spans="2:3" ht="16.2" customHeight="1" x14ac:dyDescent="0.4">
      <c r="B87" s="104"/>
      <c r="C87" s="104"/>
    </row>
    <row r="88" spans="2:3" ht="16.2" customHeight="1" x14ac:dyDescent="0.4">
      <c r="B88" s="104"/>
      <c r="C88" s="104"/>
    </row>
    <row r="89" spans="2:3" ht="16.2" customHeight="1" x14ac:dyDescent="0.4">
      <c r="B89" s="104"/>
      <c r="C89" s="104"/>
    </row>
    <row r="90" spans="2:3" ht="16.2" customHeight="1" x14ac:dyDescent="0.4">
      <c r="B90" s="104"/>
      <c r="C90" s="104"/>
    </row>
    <row r="91" spans="2:3" ht="16.2" customHeight="1" x14ac:dyDescent="0.4">
      <c r="B91" s="104"/>
      <c r="C91" s="104"/>
    </row>
    <row r="92" spans="2:3" ht="16.2" customHeight="1" x14ac:dyDescent="0.4">
      <c r="B92" s="104"/>
      <c r="C92" s="104"/>
    </row>
    <row r="93" spans="2:3" ht="16.2" customHeight="1" x14ac:dyDescent="0.4">
      <c r="B93" s="104"/>
      <c r="C93" s="104"/>
    </row>
    <row r="94" spans="2:3" ht="16.2" customHeight="1" x14ac:dyDescent="0.4">
      <c r="B94" s="104"/>
      <c r="C94" s="104"/>
    </row>
    <row r="95" spans="2:3" ht="16.2" customHeight="1" x14ac:dyDescent="0.4">
      <c r="B95" s="104"/>
      <c r="C95" s="104"/>
    </row>
    <row r="96" spans="2:3" ht="16.2" customHeight="1" x14ac:dyDescent="0.4">
      <c r="B96" s="104"/>
      <c r="C96" s="104"/>
    </row>
    <row r="97" spans="2:3" ht="16.2" customHeight="1" x14ac:dyDescent="0.4">
      <c r="B97" s="104"/>
      <c r="C97" s="104"/>
    </row>
    <row r="98" spans="2:3" ht="16.2" customHeight="1" x14ac:dyDescent="0.4">
      <c r="B98" s="104"/>
      <c r="C98" s="104"/>
    </row>
    <row r="99" spans="2:3" ht="16.2" customHeight="1" x14ac:dyDescent="0.4">
      <c r="B99" s="104"/>
      <c r="C99" s="104"/>
    </row>
    <row r="100" spans="2:3" ht="16.2" customHeight="1" x14ac:dyDescent="0.4">
      <c r="B100" s="104"/>
      <c r="C100" s="104"/>
    </row>
    <row r="101" spans="2:3" ht="16.2" customHeight="1" x14ac:dyDescent="0.4">
      <c r="B101" s="104"/>
      <c r="C101" s="104"/>
    </row>
    <row r="102" spans="2:3" ht="16.2" customHeight="1" x14ac:dyDescent="0.4">
      <c r="B102" s="104"/>
      <c r="C102" s="104"/>
    </row>
    <row r="103" spans="2:3" ht="16.2" customHeight="1" x14ac:dyDescent="0.4">
      <c r="B103" s="104"/>
      <c r="C103" s="104"/>
    </row>
    <row r="104" spans="2:3" ht="16.2" customHeight="1" x14ac:dyDescent="0.4">
      <c r="B104" s="104"/>
      <c r="C104" s="104"/>
    </row>
    <row r="105" spans="2:3" ht="16.2" customHeight="1" x14ac:dyDescent="0.4">
      <c r="B105" s="104"/>
      <c r="C105" s="104"/>
    </row>
    <row r="106" spans="2:3" ht="16.2" customHeight="1" x14ac:dyDescent="0.4">
      <c r="B106" s="104"/>
      <c r="C106" s="104"/>
    </row>
    <row r="107" spans="2:3" ht="16.2" customHeight="1" x14ac:dyDescent="0.4">
      <c r="B107" s="104"/>
      <c r="C107" s="104"/>
    </row>
    <row r="108" spans="2:3" ht="16.2" customHeight="1" x14ac:dyDescent="0.4">
      <c r="B108" s="104"/>
      <c r="C108" s="104"/>
    </row>
  </sheetData>
  <mergeCells count="1">
    <mergeCell ref="AG12:AI35"/>
  </mergeCells>
  <phoneticPr fontId="3" type="noConversion"/>
  <pageMargins left="0.25" right="0.25" top="0.75" bottom="0.75" header="0.3" footer="0.3"/>
  <pageSetup paperSize="9" scale="67" fitToHeight="0" orientation="landscape" r:id="rId1"/>
  <colBreaks count="1" manualBreakCount="1">
    <brk id="2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00203-96B7-4D35-A6F5-EA182AAF79F5}">
  <sheetPr>
    <tabColor theme="8"/>
  </sheetPr>
  <dimension ref="A1"/>
  <sheetViews>
    <sheetView workbookViewId="0">
      <selection activeCell="F6" sqref="F6"/>
    </sheetView>
  </sheetViews>
  <sheetFormatPr defaultRowHeight="17.399999999999999" x14ac:dyDescent="0.4"/>
  <sheetData/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7194F-556C-41CF-8056-3597F5716320}">
  <sheetPr>
    <pageSetUpPr fitToPage="1"/>
  </sheetPr>
  <dimension ref="A1:BC74"/>
  <sheetViews>
    <sheetView showGridLines="0" view="pageBreakPreview" zoomScaleNormal="115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B4" sqref="B4"/>
    </sheetView>
  </sheetViews>
  <sheetFormatPr defaultColWidth="7.59765625" defaultRowHeight="16.95" customHeight="1" x14ac:dyDescent="0.4"/>
  <cols>
    <col min="1" max="1" width="3.19921875" style="156" customWidth="1"/>
    <col min="2" max="2" width="14.5" style="103" customWidth="1"/>
    <col min="3" max="3" width="24.09765625" style="103" bestFit="1" customWidth="1"/>
    <col min="4" max="5" width="9.19921875" style="336" customWidth="1"/>
    <col min="6" max="6" width="5.69921875" style="336" bestFit="1" customWidth="1"/>
    <col min="7" max="16384" width="7.59765625" style="11"/>
  </cols>
  <sheetData>
    <row r="1" spans="1:55" ht="16.2" customHeight="1" x14ac:dyDescent="0.4">
      <c r="A1" s="157"/>
      <c r="B1" s="40" t="s">
        <v>210</v>
      </c>
      <c r="C1" s="44"/>
      <c r="D1" s="389"/>
      <c r="E1" s="389"/>
      <c r="J1" s="116"/>
      <c r="M1" s="116"/>
      <c r="P1" s="116"/>
      <c r="S1" s="116"/>
      <c r="V1" s="116"/>
      <c r="Y1" s="116"/>
      <c r="AB1" s="116"/>
      <c r="AE1" s="116"/>
      <c r="AH1" s="116"/>
      <c r="AK1" s="116"/>
      <c r="AN1" s="116"/>
      <c r="AQ1" s="116"/>
      <c r="AT1" s="116"/>
      <c r="AW1" s="116"/>
      <c r="AZ1" s="42"/>
    </row>
    <row r="2" spans="1:55" s="45" customFormat="1" ht="16.2" customHeight="1" x14ac:dyDescent="0.4">
      <c r="A2" s="156"/>
      <c r="B2" s="40" t="s">
        <v>211</v>
      </c>
      <c r="C2" s="41"/>
      <c r="D2" s="389"/>
      <c r="E2" s="11" t="s">
        <v>405</v>
      </c>
      <c r="F2" s="390"/>
      <c r="P2" s="117"/>
      <c r="AB2" s="117"/>
      <c r="AN2" s="117"/>
    </row>
    <row r="3" spans="1:55" s="21" customFormat="1" ht="16.2" customHeight="1" x14ac:dyDescent="0.4">
      <c r="A3" s="156"/>
      <c r="B3" s="197" t="str">
        <f>'2025 IS_Quarterly'!B3</f>
        <v>(단위 : 십억원)</v>
      </c>
      <c r="C3" s="197" t="str">
        <f>'2025 IS_Quarterly'!C3</f>
        <v>(Unit: Billion KRW)</v>
      </c>
      <c r="D3" s="392">
        <v>2023</v>
      </c>
      <c r="E3" s="392">
        <v>2024</v>
      </c>
      <c r="F3" s="393" t="s">
        <v>2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44"/>
      <c r="BA3" s="12"/>
      <c r="BB3" s="12"/>
      <c r="BC3" s="12"/>
    </row>
    <row r="4" spans="1:55" s="50" customFormat="1" ht="16.2" customHeight="1" x14ac:dyDescent="0.4">
      <c r="A4" s="156"/>
      <c r="B4" s="47" t="str">
        <f>'2025 IS_Quarterly'!B4</f>
        <v>매출</v>
      </c>
      <c r="C4" s="48" t="str">
        <f>'2025 IS_Quarterly'!C4</f>
        <v>Revenue</v>
      </c>
      <c r="D4" s="394">
        <v>180.12299999999999</v>
      </c>
      <c r="E4" s="394">
        <v>242.93783225300001</v>
      </c>
      <c r="F4" s="395">
        <f>E4/D4-1</f>
        <v>0.34873298941834197</v>
      </c>
      <c r="G4" s="52"/>
      <c r="H4" s="52"/>
      <c r="I4" s="52"/>
      <c r="J4" s="118"/>
      <c r="K4" s="52"/>
      <c r="L4" s="52"/>
      <c r="M4" s="118"/>
      <c r="N4" s="52"/>
      <c r="O4" s="52"/>
      <c r="P4" s="118"/>
      <c r="Q4" s="52"/>
      <c r="R4" s="52"/>
      <c r="S4" s="118"/>
      <c r="T4" s="52"/>
      <c r="U4" s="52"/>
      <c r="V4" s="118"/>
      <c r="W4" s="52"/>
      <c r="X4" s="52"/>
      <c r="Y4" s="118"/>
      <c r="Z4" s="52"/>
      <c r="AA4" s="52"/>
      <c r="AB4" s="118"/>
      <c r="AC4" s="52"/>
      <c r="AD4" s="52"/>
      <c r="AE4" s="118"/>
      <c r="AF4" s="52"/>
      <c r="AG4" s="52"/>
      <c r="AH4" s="118"/>
      <c r="AI4" s="52"/>
      <c r="AJ4" s="52"/>
      <c r="AK4" s="118"/>
      <c r="AL4" s="52"/>
      <c r="AM4" s="52"/>
      <c r="AN4" s="118"/>
      <c r="AO4" s="52"/>
      <c r="AP4" s="52"/>
      <c r="AQ4" s="118"/>
      <c r="AR4" s="52"/>
      <c r="AS4" s="52"/>
      <c r="AT4" s="118"/>
      <c r="AU4" s="52"/>
      <c r="AV4" s="52"/>
      <c r="AW4" s="118"/>
      <c r="AX4" s="52"/>
      <c r="AY4" s="52"/>
      <c r="AZ4" s="49"/>
      <c r="BB4" s="51"/>
      <c r="BC4" s="52"/>
    </row>
    <row r="5" spans="1:55" s="58" customFormat="1" ht="16.2" customHeight="1" x14ac:dyDescent="0.4">
      <c r="A5" s="156"/>
      <c r="B5" s="53" t="str">
        <f>'2025 IS_Quarterly'!B5</f>
        <v>매출원가</v>
      </c>
      <c r="C5" s="54" t="str">
        <f>'2025 IS_Quarterly'!C5</f>
        <v>COGS</v>
      </c>
      <c r="D5" s="397">
        <v>-39.674000000000007</v>
      </c>
      <c r="E5" s="397">
        <v>-51.811629616000005</v>
      </c>
      <c r="F5" s="396">
        <f>E5/D5-1</f>
        <v>0.30593410334223914</v>
      </c>
      <c r="G5" s="55"/>
      <c r="H5" s="55"/>
      <c r="I5" s="55"/>
      <c r="J5" s="119"/>
      <c r="K5" s="55"/>
      <c r="L5" s="55"/>
      <c r="M5" s="119"/>
      <c r="N5" s="55"/>
      <c r="O5" s="55"/>
      <c r="P5" s="119"/>
      <c r="Q5" s="55"/>
      <c r="R5" s="55"/>
      <c r="S5" s="119"/>
      <c r="T5" s="55"/>
      <c r="U5" s="55"/>
      <c r="V5" s="119"/>
      <c r="W5" s="55"/>
      <c r="X5" s="55"/>
      <c r="Y5" s="119"/>
      <c r="Z5" s="55"/>
      <c r="AA5" s="55"/>
      <c r="AB5" s="119"/>
      <c r="AC5" s="55"/>
      <c r="AD5" s="55"/>
      <c r="AE5" s="119"/>
      <c r="AF5" s="55"/>
      <c r="AG5" s="55"/>
      <c r="AH5" s="119"/>
      <c r="AI5" s="55"/>
      <c r="AJ5" s="55"/>
      <c r="AK5" s="119"/>
      <c r="AL5" s="55"/>
      <c r="AM5" s="55"/>
      <c r="AN5" s="119"/>
      <c r="AO5" s="55"/>
      <c r="AP5" s="55"/>
      <c r="AQ5" s="119"/>
      <c r="AR5" s="55"/>
      <c r="AS5" s="55"/>
      <c r="AT5" s="119"/>
      <c r="AU5" s="55"/>
      <c r="AV5" s="55"/>
      <c r="AW5" s="119"/>
      <c r="AX5" s="55"/>
      <c r="AY5" s="55"/>
      <c r="AZ5" s="56"/>
      <c r="BA5" s="56"/>
      <c r="BB5" s="57"/>
      <c r="BC5" s="55"/>
    </row>
    <row r="6" spans="1:55" s="58" customFormat="1" ht="16.2" customHeight="1" x14ac:dyDescent="0.4">
      <c r="A6" s="156"/>
      <c r="B6" s="59" t="str">
        <f>'2025 IS_Quarterly'!B6</f>
        <v>(%)</v>
      </c>
      <c r="C6" s="60" t="str">
        <f>'2025 IS_Quarterly'!C6</f>
        <v>(%)</v>
      </c>
      <c r="D6" s="398">
        <v>0.22026059970131526</v>
      </c>
      <c r="E6" s="398">
        <v>0.21327114486656984</v>
      </c>
      <c r="F6" s="396"/>
      <c r="G6" s="55"/>
      <c r="H6" s="55"/>
      <c r="I6" s="55"/>
      <c r="J6" s="120"/>
      <c r="K6" s="55"/>
      <c r="L6" s="55"/>
      <c r="M6" s="120"/>
      <c r="N6" s="55"/>
      <c r="O6" s="55"/>
      <c r="P6" s="120"/>
      <c r="Q6" s="55"/>
      <c r="R6" s="55"/>
      <c r="S6" s="120"/>
      <c r="T6" s="55"/>
      <c r="U6" s="55"/>
      <c r="V6" s="120"/>
      <c r="W6" s="55"/>
      <c r="X6" s="55"/>
      <c r="Y6" s="120"/>
      <c r="Z6" s="55"/>
      <c r="AA6" s="55"/>
      <c r="AB6" s="120"/>
      <c r="AC6" s="55"/>
      <c r="AD6" s="55"/>
      <c r="AE6" s="120"/>
      <c r="AF6" s="55"/>
      <c r="AG6" s="55"/>
      <c r="AH6" s="120"/>
      <c r="AI6" s="55"/>
      <c r="AJ6" s="55"/>
      <c r="AK6" s="120"/>
      <c r="AL6" s="55"/>
      <c r="AM6" s="55"/>
      <c r="AN6" s="120"/>
      <c r="AO6" s="55"/>
      <c r="AP6" s="55"/>
      <c r="AQ6" s="120"/>
      <c r="AR6" s="55"/>
      <c r="AS6" s="55"/>
      <c r="AT6" s="120"/>
      <c r="AU6" s="55"/>
      <c r="AV6" s="55"/>
      <c r="AW6" s="120"/>
      <c r="AX6" s="55"/>
      <c r="AY6" s="55"/>
      <c r="AZ6" s="56"/>
      <c r="BA6" s="56"/>
      <c r="BB6" s="57"/>
      <c r="BC6" s="55"/>
    </row>
    <row r="7" spans="1:55" s="21" customFormat="1" ht="16.2" customHeight="1" x14ac:dyDescent="0.4">
      <c r="A7" s="156"/>
      <c r="B7" s="61" t="str">
        <f>'2025 IS_Quarterly'!B7</f>
        <v>매출총이익</v>
      </c>
      <c r="C7" s="62" t="str">
        <f>'2025 IS_Quarterly'!C7</f>
        <v>Gross Profit</v>
      </c>
      <c r="D7" s="399">
        <v>140.44900000000001</v>
      </c>
      <c r="E7" s="399">
        <v>191.12620263700001</v>
      </c>
      <c r="F7" s="395">
        <f>E7/D7-1</f>
        <v>0.36082280854260262</v>
      </c>
      <c r="G7" s="52"/>
      <c r="H7" s="52"/>
      <c r="I7" s="52"/>
      <c r="J7" s="121"/>
      <c r="K7" s="52"/>
      <c r="L7" s="52"/>
      <c r="M7" s="121"/>
      <c r="N7" s="52"/>
      <c r="O7" s="52"/>
      <c r="P7" s="121"/>
      <c r="Q7" s="52"/>
      <c r="R7" s="52"/>
      <c r="S7" s="121"/>
      <c r="T7" s="52"/>
      <c r="U7" s="52"/>
      <c r="V7" s="121"/>
      <c r="W7" s="52"/>
      <c r="X7" s="52"/>
      <c r="Y7" s="121"/>
      <c r="Z7" s="52"/>
      <c r="AA7" s="52"/>
      <c r="AB7" s="121"/>
      <c r="AC7" s="52"/>
      <c r="AD7" s="52"/>
      <c r="AE7" s="121"/>
      <c r="AF7" s="52"/>
      <c r="AG7" s="52"/>
      <c r="AH7" s="121"/>
      <c r="AI7" s="52"/>
      <c r="AJ7" s="52"/>
      <c r="AK7" s="121"/>
      <c r="AL7" s="52"/>
      <c r="AM7" s="52"/>
      <c r="AN7" s="121"/>
      <c r="AO7" s="52"/>
      <c r="AP7" s="52"/>
      <c r="AQ7" s="121"/>
      <c r="AR7" s="52"/>
      <c r="AS7" s="52"/>
      <c r="AT7" s="121"/>
      <c r="AU7" s="52"/>
      <c r="AV7" s="52"/>
      <c r="AW7" s="121"/>
      <c r="AX7" s="52"/>
      <c r="AY7" s="52"/>
      <c r="AZ7" s="63"/>
      <c r="BA7" s="64"/>
      <c r="BB7" s="57"/>
      <c r="BC7" s="52"/>
    </row>
    <row r="8" spans="1:55" s="68" customFormat="1" ht="16.2" customHeight="1" x14ac:dyDescent="0.4">
      <c r="A8" s="156"/>
      <c r="B8" s="199" t="str">
        <f>'2025 IS_Quarterly'!B8</f>
        <v>(%)</v>
      </c>
      <c r="C8" s="200" t="str">
        <f>'2025 IS_Quarterly'!C8</f>
        <v>(%)</v>
      </c>
      <c r="D8" s="400">
        <v>0.77973940029868494</v>
      </c>
      <c r="E8" s="400">
        <v>0.78672885513343016</v>
      </c>
      <c r="F8" s="401"/>
      <c r="G8" s="122"/>
      <c r="H8" s="122"/>
      <c r="I8" s="122"/>
      <c r="J8" s="123"/>
      <c r="K8" s="122"/>
      <c r="L8" s="122"/>
      <c r="M8" s="123"/>
      <c r="N8" s="122"/>
      <c r="O8" s="122"/>
      <c r="P8" s="123"/>
      <c r="Q8" s="122"/>
      <c r="R8" s="122"/>
      <c r="S8" s="123"/>
      <c r="T8" s="122"/>
      <c r="U8" s="122"/>
      <c r="V8" s="123"/>
      <c r="W8" s="122"/>
      <c r="X8" s="122"/>
      <c r="Y8" s="123"/>
      <c r="Z8" s="122"/>
      <c r="AA8" s="122"/>
      <c r="AB8" s="123"/>
      <c r="AC8" s="122"/>
      <c r="AD8" s="122"/>
      <c r="AE8" s="123"/>
      <c r="AF8" s="122"/>
      <c r="AG8" s="122"/>
      <c r="AH8" s="123"/>
      <c r="AI8" s="122"/>
      <c r="AJ8" s="122"/>
      <c r="AK8" s="123"/>
      <c r="AL8" s="122"/>
      <c r="AM8" s="122"/>
      <c r="AN8" s="123"/>
      <c r="AO8" s="122"/>
      <c r="AP8" s="122"/>
      <c r="AQ8" s="123"/>
      <c r="AR8" s="122"/>
      <c r="AS8" s="122"/>
      <c r="AT8" s="123"/>
      <c r="AU8" s="122"/>
      <c r="AV8" s="122"/>
      <c r="AW8" s="123"/>
      <c r="AX8" s="122"/>
      <c r="AY8" s="122"/>
      <c r="AZ8" s="65"/>
      <c r="BA8" s="66"/>
      <c r="BB8" s="57"/>
      <c r="BC8" s="67"/>
    </row>
    <row r="9" spans="1:55" s="71" customFormat="1" ht="16.2" customHeight="1" x14ac:dyDescent="0.4">
      <c r="A9" s="156"/>
      <c r="B9" s="69" t="str">
        <f>'2025 IS_Quarterly'!B9</f>
        <v>판관비</v>
      </c>
      <c r="C9" s="70" t="str">
        <f>'2025 IS_Quarterly'!C9</f>
        <v>SG&amp;A</v>
      </c>
      <c r="D9" s="402">
        <v>-50.826000000000001</v>
      </c>
      <c r="E9" s="402">
        <v>-68.684887671000013</v>
      </c>
      <c r="F9" s="396">
        <f>E9/D9-1</f>
        <v>0.35137307029866638</v>
      </c>
      <c r="G9" s="55"/>
      <c r="H9" s="55"/>
      <c r="I9" s="55"/>
      <c r="J9" s="124"/>
      <c r="K9" s="55"/>
      <c r="L9" s="55"/>
      <c r="M9" s="124"/>
      <c r="N9" s="55"/>
      <c r="O9" s="55"/>
      <c r="P9" s="124"/>
      <c r="Q9" s="55"/>
      <c r="R9" s="55"/>
      <c r="S9" s="124"/>
      <c r="T9" s="55"/>
      <c r="U9" s="55"/>
      <c r="V9" s="124"/>
      <c r="W9" s="55"/>
      <c r="X9" s="55"/>
      <c r="Y9" s="124"/>
      <c r="Z9" s="55"/>
      <c r="AA9" s="55"/>
      <c r="AB9" s="124"/>
      <c r="AC9" s="55"/>
      <c r="AD9" s="55"/>
      <c r="AE9" s="124"/>
      <c r="AF9" s="55"/>
      <c r="AG9" s="55"/>
      <c r="AH9" s="124"/>
      <c r="AI9" s="55"/>
      <c r="AJ9" s="55"/>
      <c r="AK9" s="124"/>
      <c r="AL9" s="55"/>
      <c r="AM9" s="55"/>
      <c r="AN9" s="124"/>
      <c r="AO9" s="55"/>
      <c r="AP9" s="55"/>
      <c r="AQ9" s="124"/>
      <c r="AR9" s="55"/>
      <c r="AS9" s="55"/>
      <c r="AT9" s="124"/>
      <c r="AU9" s="55"/>
      <c r="AV9" s="55"/>
      <c r="AW9" s="124"/>
      <c r="AX9" s="55"/>
      <c r="AY9" s="55"/>
      <c r="AZ9" s="56"/>
      <c r="BA9" s="56"/>
      <c r="BB9" s="51"/>
      <c r="BC9" s="55"/>
    </row>
    <row r="10" spans="1:55" s="71" customFormat="1" ht="16.2" customHeight="1" x14ac:dyDescent="0.4">
      <c r="A10" s="156"/>
      <c r="B10" s="59" t="str">
        <f>'2025 IS_Quarterly'!B10</f>
        <v>(%)</v>
      </c>
      <c r="C10" s="60" t="str">
        <f>'2025 IS_Quarterly'!C10</f>
        <v>(%)</v>
      </c>
      <c r="D10" s="398">
        <v>0.28217384787062177</v>
      </c>
      <c r="E10" s="398">
        <v>0.28272618979933223</v>
      </c>
      <c r="F10" s="396"/>
      <c r="G10" s="55"/>
      <c r="H10" s="55"/>
      <c r="I10" s="55"/>
      <c r="J10" s="120"/>
      <c r="K10" s="55"/>
      <c r="L10" s="55"/>
      <c r="M10" s="120"/>
      <c r="N10" s="55"/>
      <c r="O10" s="55"/>
      <c r="P10" s="120"/>
      <c r="Q10" s="55"/>
      <c r="R10" s="55"/>
      <c r="S10" s="120"/>
      <c r="T10" s="55"/>
      <c r="U10" s="55"/>
      <c r="V10" s="120"/>
      <c r="W10" s="55"/>
      <c r="X10" s="55"/>
      <c r="Y10" s="120"/>
      <c r="Z10" s="55"/>
      <c r="AA10" s="55"/>
      <c r="AB10" s="120"/>
      <c r="AC10" s="55"/>
      <c r="AD10" s="55"/>
      <c r="AE10" s="120"/>
      <c r="AF10" s="55"/>
      <c r="AG10" s="55"/>
      <c r="AH10" s="120"/>
      <c r="AI10" s="55"/>
      <c r="AJ10" s="55"/>
      <c r="AK10" s="120"/>
      <c r="AL10" s="55"/>
      <c r="AM10" s="55"/>
      <c r="AN10" s="120"/>
      <c r="AO10" s="55"/>
      <c r="AP10" s="55"/>
      <c r="AQ10" s="120"/>
      <c r="AR10" s="55"/>
      <c r="AS10" s="55"/>
      <c r="AT10" s="120"/>
      <c r="AU10" s="55"/>
      <c r="AV10" s="55"/>
      <c r="AW10" s="120"/>
      <c r="AX10" s="55"/>
      <c r="AY10" s="55"/>
      <c r="AZ10" s="56"/>
      <c r="BA10" s="56"/>
      <c r="BB10" s="51"/>
      <c r="BC10" s="55"/>
    </row>
    <row r="11" spans="1:55" s="50" customFormat="1" ht="16.2" customHeight="1" x14ac:dyDescent="0.4">
      <c r="A11" s="156"/>
      <c r="B11" s="47" t="str">
        <f>'2025 IS_Quarterly'!B11</f>
        <v>영업이익</v>
      </c>
      <c r="C11" s="48" t="str">
        <f>'2025 IS_Quarterly'!C11</f>
        <v>Operating Profit</v>
      </c>
      <c r="D11" s="394">
        <v>89.623000000000005</v>
      </c>
      <c r="E11" s="394">
        <v>122.44131496599999</v>
      </c>
      <c r="F11" s="395">
        <f>E11/D11-1</f>
        <v>0.36618183910380142</v>
      </c>
      <c r="G11" s="52"/>
      <c r="H11" s="52"/>
      <c r="I11" s="52"/>
      <c r="J11" s="118"/>
      <c r="K11" s="52"/>
      <c r="L11" s="52"/>
      <c r="M11" s="118"/>
      <c r="N11" s="52"/>
      <c r="O11" s="52"/>
      <c r="P11" s="118"/>
      <c r="Q11" s="52"/>
      <c r="R11" s="52"/>
      <c r="S11" s="118"/>
      <c r="T11" s="52"/>
      <c r="U11" s="52"/>
      <c r="V11" s="118"/>
      <c r="W11" s="52"/>
      <c r="X11" s="52"/>
      <c r="Y11" s="118"/>
      <c r="Z11" s="52"/>
      <c r="AA11" s="52"/>
      <c r="AB11" s="118"/>
      <c r="AC11" s="52"/>
      <c r="AD11" s="52"/>
      <c r="AE11" s="118"/>
      <c r="AF11" s="52"/>
      <c r="AG11" s="52"/>
      <c r="AH11" s="118"/>
      <c r="AI11" s="52"/>
      <c r="AJ11" s="52"/>
      <c r="AK11" s="118"/>
      <c r="AL11" s="52"/>
      <c r="AM11" s="52"/>
      <c r="AN11" s="118"/>
      <c r="AO11" s="52"/>
      <c r="AP11" s="52"/>
      <c r="AQ11" s="118"/>
      <c r="AR11" s="52"/>
      <c r="AS11" s="52"/>
      <c r="AT11" s="118"/>
      <c r="AU11" s="52"/>
      <c r="AV11" s="52"/>
      <c r="AW11" s="118"/>
      <c r="AX11" s="52"/>
      <c r="AY11" s="52"/>
      <c r="AZ11" s="49"/>
      <c r="BB11" s="57"/>
      <c r="BC11" s="52"/>
    </row>
    <row r="12" spans="1:55" s="50" customFormat="1" ht="16.2" customHeight="1" x14ac:dyDescent="0.4">
      <c r="A12" s="156"/>
      <c r="B12" s="199" t="str">
        <f>'2025 IS_Quarterly'!B12</f>
        <v>(%)</v>
      </c>
      <c r="C12" s="200" t="str">
        <f>'2025 IS_Quarterly'!C12</f>
        <v>(%)</v>
      </c>
      <c r="D12" s="400">
        <v>0.49756555242806311</v>
      </c>
      <c r="E12" s="400">
        <v>0.50400266533409799</v>
      </c>
      <c r="F12" s="401"/>
      <c r="G12" s="122"/>
      <c r="H12" s="122"/>
      <c r="I12" s="122"/>
      <c r="J12" s="123"/>
      <c r="K12" s="122"/>
      <c r="L12" s="122"/>
      <c r="M12" s="123"/>
      <c r="N12" s="122"/>
      <c r="O12" s="122"/>
      <c r="P12" s="123"/>
      <c r="Q12" s="122"/>
      <c r="R12" s="122"/>
      <c r="S12" s="123"/>
      <c r="T12" s="122"/>
      <c r="U12" s="122"/>
      <c r="V12" s="123"/>
      <c r="W12" s="122"/>
      <c r="X12" s="122"/>
      <c r="Y12" s="123"/>
      <c r="Z12" s="122"/>
      <c r="AA12" s="122"/>
      <c r="AB12" s="123"/>
      <c r="AC12" s="122"/>
      <c r="AD12" s="122"/>
      <c r="AE12" s="123"/>
      <c r="AF12" s="122"/>
      <c r="AG12" s="122"/>
      <c r="AH12" s="123"/>
      <c r="AI12" s="122"/>
      <c r="AJ12" s="122"/>
      <c r="AK12" s="123"/>
      <c r="AL12" s="122"/>
      <c r="AM12" s="122"/>
      <c r="AN12" s="123"/>
      <c r="AO12" s="122"/>
      <c r="AP12" s="122"/>
      <c r="AQ12" s="123"/>
      <c r="AR12" s="122"/>
      <c r="AS12" s="122"/>
      <c r="AT12" s="123"/>
      <c r="AU12" s="122"/>
      <c r="AV12" s="122"/>
      <c r="AW12" s="123"/>
      <c r="AX12" s="122"/>
      <c r="AY12" s="122"/>
      <c r="AZ12" s="49"/>
      <c r="BB12" s="57"/>
      <c r="BC12" s="52"/>
    </row>
    <row r="13" spans="1:55" s="518" customFormat="1" ht="16.2" customHeight="1" x14ac:dyDescent="0.4">
      <c r="A13" s="156"/>
      <c r="B13" s="493" t="str">
        <f>'2025 IS_Quarterly'!B13</f>
        <v>금융수익</v>
      </c>
      <c r="C13" s="494" t="str">
        <f>'2025 IS_Quarterly'!C13</f>
        <v>Financial  Income</v>
      </c>
      <c r="D13" s="514">
        <v>8.6590000000000007</v>
      </c>
      <c r="E13" s="514">
        <v>24.207351461000002</v>
      </c>
      <c r="F13" s="512">
        <f t="shared" ref="F13:F19" si="0">E13/D13-1</f>
        <v>1.7956289942256611</v>
      </c>
      <c r="G13" s="517"/>
      <c r="H13" s="517"/>
      <c r="I13" s="517"/>
      <c r="J13" s="516"/>
      <c r="K13" s="517"/>
      <c r="L13" s="517"/>
      <c r="M13" s="516"/>
      <c r="N13" s="517"/>
      <c r="O13" s="517"/>
      <c r="P13" s="516"/>
      <c r="Q13" s="517"/>
      <c r="R13" s="517"/>
      <c r="S13" s="516"/>
      <c r="T13" s="517"/>
      <c r="U13" s="517"/>
      <c r="V13" s="516"/>
      <c r="W13" s="517"/>
      <c r="X13" s="517"/>
      <c r="Y13" s="516"/>
      <c r="Z13" s="517"/>
      <c r="AA13" s="517"/>
      <c r="AB13" s="516"/>
      <c r="AC13" s="517"/>
      <c r="AD13" s="517"/>
      <c r="AE13" s="516"/>
      <c r="AF13" s="517"/>
      <c r="AG13" s="517"/>
      <c r="AH13" s="516"/>
      <c r="AI13" s="517"/>
      <c r="AJ13" s="517"/>
      <c r="AK13" s="516"/>
      <c r="AL13" s="517"/>
      <c r="AM13" s="517"/>
      <c r="AN13" s="516"/>
      <c r="AO13" s="517"/>
      <c r="AP13" s="517"/>
      <c r="AQ13" s="516"/>
      <c r="AR13" s="517"/>
      <c r="AS13" s="517"/>
      <c r="AT13" s="516"/>
      <c r="AU13" s="517"/>
      <c r="AV13" s="517"/>
      <c r="AW13" s="516"/>
      <c r="AX13" s="517"/>
      <c r="AY13" s="517"/>
      <c r="AZ13" s="511"/>
      <c r="BA13" s="511"/>
      <c r="BB13" s="510"/>
      <c r="BC13" s="517"/>
    </row>
    <row r="14" spans="1:55" s="518" customFormat="1" ht="16.2" customHeight="1" x14ac:dyDescent="0.4">
      <c r="A14" s="156"/>
      <c r="B14" s="493" t="str">
        <f>'2025 IS_Quarterly'!B14</f>
        <v>금융비용</v>
      </c>
      <c r="C14" s="494" t="str">
        <f>'2025 IS_Quarterly'!C14</f>
        <v>Financial Expenses</v>
      </c>
      <c r="D14" s="515">
        <v>-3.593</v>
      </c>
      <c r="E14" s="515">
        <v>-4.6833013350000003</v>
      </c>
      <c r="F14" s="512">
        <f t="shared" si="0"/>
        <v>0.30345152657946017</v>
      </c>
      <c r="G14" s="517"/>
      <c r="H14" s="517"/>
      <c r="I14" s="517"/>
      <c r="J14" s="516"/>
      <c r="K14" s="517"/>
      <c r="L14" s="517"/>
      <c r="M14" s="516"/>
      <c r="N14" s="517"/>
      <c r="O14" s="517"/>
      <c r="P14" s="516"/>
      <c r="Q14" s="517"/>
      <c r="R14" s="517"/>
      <c r="S14" s="516"/>
      <c r="T14" s="517"/>
      <c r="U14" s="517"/>
      <c r="V14" s="516"/>
      <c r="W14" s="517"/>
      <c r="X14" s="517"/>
      <c r="Y14" s="516"/>
      <c r="Z14" s="517"/>
      <c r="AA14" s="517"/>
      <c r="AB14" s="516"/>
      <c r="AC14" s="517"/>
      <c r="AD14" s="517"/>
      <c r="AE14" s="516"/>
      <c r="AF14" s="517"/>
      <c r="AG14" s="517"/>
      <c r="AH14" s="516"/>
      <c r="AI14" s="517"/>
      <c r="AJ14" s="517"/>
      <c r="AK14" s="516"/>
      <c r="AL14" s="517"/>
      <c r="AM14" s="517"/>
      <c r="AN14" s="516"/>
      <c r="AO14" s="517"/>
      <c r="AP14" s="517"/>
      <c r="AQ14" s="516"/>
      <c r="AR14" s="517"/>
      <c r="AS14" s="517"/>
      <c r="AT14" s="516"/>
      <c r="AU14" s="517"/>
      <c r="AV14" s="517"/>
      <c r="AW14" s="516"/>
      <c r="AX14" s="517"/>
      <c r="AY14" s="517"/>
      <c r="AZ14" s="511"/>
      <c r="BA14" s="511"/>
      <c r="BB14" s="510"/>
      <c r="BC14" s="517"/>
    </row>
    <row r="15" spans="1:55" s="518" customFormat="1" ht="16.2" customHeight="1" x14ac:dyDescent="0.4">
      <c r="A15" s="156"/>
      <c r="B15" s="493" t="str">
        <f>'2025 IS_Quarterly'!B15</f>
        <v>기타수익</v>
      </c>
      <c r="C15" s="494" t="str">
        <f>'2025 IS_Quarterly'!C15</f>
        <v>Other Income</v>
      </c>
      <c r="D15" s="519">
        <v>4.8429602000000002E-2</v>
      </c>
      <c r="E15" s="514">
        <v>2.8579911999999999E-2</v>
      </c>
      <c r="F15" s="512">
        <f t="shared" si="0"/>
        <v>-0.40986688265577742</v>
      </c>
      <c r="G15" s="517"/>
      <c r="H15" s="517"/>
      <c r="I15" s="517"/>
      <c r="J15" s="516"/>
      <c r="K15" s="517"/>
      <c r="L15" s="517"/>
      <c r="M15" s="516"/>
      <c r="N15" s="517"/>
      <c r="O15" s="517"/>
      <c r="P15" s="516"/>
      <c r="Q15" s="517"/>
      <c r="R15" s="517"/>
      <c r="S15" s="516"/>
      <c r="T15" s="517"/>
      <c r="U15" s="517"/>
      <c r="V15" s="516"/>
      <c r="W15" s="517"/>
      <c r="X15" s="517"/>
      <c r="Y15" s="516"/>
      <c r="Z15" s="517"/>
      <c r="AA15" s="517"/>
      <c r="AB15" s="516"/>
      <c r="AC15" s="517"/>
      <c r="AD15" s="517"/>
      <c r="AE15" s="516"/>
      <c r="AF15" s="517"/>
      <c r="AG15" s="517"/>
      <c r="AH15" s="516"/>
      <c r="AI15" s="517"/>
      <c r="AJ15" s="517"/>
      <c r="AK15" s="516"/>
      <c r="AL15" s="517"/>
      <c r="AM15" s="517"/>
      <c r="AN15" s="516"/>
      <c r="AO15" s="517"/>
      <c r="AP15" s="517"/>
      <c r="AQ15" s="516"/>
      <c r="AR15" s="517"/>
      <c r="AS15" s="517"/>
      <c r="AT15" s="516"/>
      <c r="AU15" s="517"/>
      <c r="AV15" s="517"/>
      <c r="AW15" s="516"/>
      <c r="AX15" s="517"/>
      <c r="AY15" s="517"/>
      <c r="AZ15" s="511"/>
      <c r="BA15" s="511"/>
      <c r="BB15" s="510"/>
      <c r="BC15" s="517"/>
    </row>
    <row r="16" spans="1:55" s="518" customFormat="1" ht="16.2" customHeight="1" x14ac:dyDescent="0.4">
      <c r="A16" s="156"/>
      <c r="B16" s="493" t="str">
        <f>'2025 IS_Quarterly'!B16</f>
        <v>기타비용</v>
      </c>
      <c r="C16" s="494" t="str">
        <f>'2025 IS_Quarterly'!C16</f>
        <v>Other Expenses</v>
      </c>
      <c r="D16" s="515">
        <v>-0.89400000000000002</v>
      </c>
      <c r="E16" s="515">
        <v>-13.002104703000001</v>
      </c>
      <c r="F16" s="512">
        <f t="shared" si="0"/>
        <v>13.543741278523489</v>
      </c>
      <c r="G16" s="517"/>
      <c r="H16" s="517"/>
      <c r="I16" s="517"/>
      <c r="J16" s="516"/>
      <c r="K16" s="517"/>
      <c r="L16" s="517"/>
      <c r="M16" s="516"/>
      <c r="N16" s="517"/>
      <c r="O16" s="517"/>
      <c r="P16" s="516"/>
      <c r="Q16" s="517"/>
      <c r="R16" s="517"/>
      <c r="S16" s="516"/>
      <c r="T16" s="517"/>
      <c r="U16" s="517"/>
      <c r="V16" s="516"/>
      <c r="W16" s="517"/>
      <c r="X16" s="517"/>
      <c r="Y16" s="516"/>
      <c r="Z16" s="517"/>
      <c r="AA16" s="517"/>
      <c r="AB16" s="516"/>
      <c r="AC16" s="517"/>
      <c r="AD16" s="517"/>
      <c r="AE16" s="516"/>
      <c r="AF16" s="517"/>
      <c r="AG16" s="517"/>
      <c r="AH16" s="516"/>
      <c r="AI16" s="517"/>
      <c r="AJ16" s="517"/>
      <c r="AK16" s="516"/>
      <c r="AL16" s="517"/>
      <c r="AM16" s="517"/>
      <c r="AN16" s="516"/>
      <c r="AO16" s="517"/>
      <c r="AP16" s="517"/>
      <c r="AQ16" s="516"/>
      <c r="AR16" s="517"/>
      <c r="AS16" s="517"/>
      <c r="AT16" s="516"/>
      <c r="AU16" s="517"/>
      <c r="AV16" s="517"/>
      <c r="AW16" s="516"/>
      <c r="AX16" s="517"/>
      <c r="AY16" s="517"/>
      <c r="AZ16" s="511"/>
      <c r="BA16" s="511"/>
      <c r="BB16" s="510"/>
      <c r="BC16" s="517"/>
    </row>
    <row r="17" spans="1:55" s="491" customFormat="1" ht="16.2" customHeight="1" x14ac:dyDescent="0.4">
      <c r="A17" s="156"/>
      <c r="B17" s="520" t="str">
        <f>'2025 IS_Quarterly'!B17</f>
        <v>법인세차감전
순이익</v>
      </c>
      <c r="C17" s="497" t="str">
        <f>'2025 IS_Quarterly'!C17</f>
        <v>Net Income Before Income Tax</v>
      </c>
      <c r="D17" s="521">
        <v>93.843429602000015</v>
      </c>
      <c r="E17" s="521">
        <v>127.925283411</v>
      </c>
      <c r="F17" s="522">
        <f t="shared" si="0"/>
        <v>0.36317783731418118</v>
      </c>
      <c r="G17" s="513"/>
      <c r="H17" s="513"/>
      <c r="I17" s="513"/>
      <c r="J17" s="516"/>
      <c r="K17" s="513"/>
      <c r="L17" s="513"/>
      <c r="M17" s="516"/>
      <c r="N17" s="513"/>
      <c r="O17" s="513"/>
      <c r="P17" s="516"/>
      <c r="Q17" s="513"/>
      <c r="R17" s="513"/>
      <c r="S17" s="516"/>
      <c r="T17" s="513"/>
      <c r="U17" s="513"/>
      <c r="V17" s="516"/>
      <c r="W17" s="513"/>
      <c r="X17" s="513"/>
      <c r="Y17" s="516"/>
      <c r="Z17" s="513"/>
      <c r="AA17" s="513"/>
      <c r="AB17" s="516"/>
      <c r="AC17" s="513"/>
      <c r="AD17" s="513"/>
      <c r="AE17" s="516"/>
      <c r="AF17" s="513"/>
      <c r="AG17" s="513"/>
      <c r="AH17" s="516"/>
      <c r="AI17" s="513"/>
      <c r="AJ17" s="513"/>
      <c r="AK17" s="516"/>
      <c r="AL17" s="513"/>
      <c r="AM17" s="513"/>
      <c r="AN17" s="516"/>
      <c r="AO17" s="513"/>
      <c r="AP17" s="513"/>
      <c r="AQ17" s="516"/>
      <c r="AR17" s="513"/>
      <c r="AS17" s="513"/>
      <c r="AT17" s="516"/>
      <c r="AU17" s="513"/>
      <c r="AV17" s="513"/>
      <c r="AW17" s="516"/>
      <c r="AX17" s="513"/>
      <c r="AY17" s="513"/>
      <c r="AZ17" s="509"/>
      <c r="BA17" s="509"/>
      <c r="BB17" s="510"/>
      <c r="BC17" s="513"/>
    </row>
    <row r="18" spans="1:55" s="518" customFormat="1" ht="16.2" customHeight="1" x14ac:dyDescent="0.4">
      <c r="A18" s="156"/>
      <c r="B18" s="493" t="str">
        <f>'2025 IS_Quarterly'!B18</f>
        <v>법인세비용</v>
      </c>
      <c r="C18" s="494" t="str">
        <f>'2025 IS_Quarterly'!C18</f>
        <v>Tax Expenses</v>
      </c>
      <c r="D18" s="515">
        <v>-19.616000000000003</v>
      </c>
      <c r="E18" s="515">
        <v>-30.387291503000007</v>
      </c>
      <c r="F18" s="512">
        <f t="shared" si="0"/>
        <v>0.54910743795880923</v>
      </c>
      <c r="G18" s="517"/>
      <c r="H18" s="517"/>
      <c r="I18" s="517"/>
      <c r="J18" s="516"/>
      <c r="K18" s="517"/>
      <c r="L18" s="517"/>
      <c r="M18" s="516"/>
      <c r="N18" s="517"/>
      <c r="O18" s="517"/>
      <c r="P18" s="516"/>
      <c r="Q18" s="517"/>
      <c r="R18" s="517"/>
      <c r="S18" s="516"/>
      <c r="T18" s="517"/>
      <c r="U18" s="517"/>
      <c r="V18" s="516"/>
      <c r="W18" s="517"/>
      <c r="X18" s="517"/>
      <c r="Y18" s="516"/>
      <c r="Z18" s="517"/>
      <c r="AA18" s="517"/>
      <c r="AB18" s="516"/>
      <c r="AC18" s="517"/>
      <c r="AD18" s="517"/>
      <c r="AE18" s="516"/>
      <c r="AF18" s="517"/>
      <c r="AG18" s="517"/>
      <c r="AH18" s="516"/>
      <c r="AI18" s="517"/>
      <c r="AJ18" s="517"/>
      <c r="AK18" s="516"/>
      <c r="AL18" s="517"/>
      <c r="AM18" s="517"/>
      <c r="AN18" s="516"/>
      <c r="AO18" s="517"/>
      <c r="AP18" s="517"/>
      <c r="AQ18" s="516"/>
      <c r="AR18" s="517"/>
      <c r="AS18" s="517"/>
      <c r="AT18" s="516"/>
      <c r="AU18" s="517"/>
      <c r="AV18" s="517"/>
      <c r="AW18" s="516"/>
      <c r="AX18" s="517"/>
      <c r="AY18" s="517"/>
      <c r="AZ18" s="511"/>
      <c r="BA18" s="511"/>
      <c r="BB18" s="510"/>
      <c r="BC18" s="517"/>
    </row>
    <row r="19" spans="1:55" s="21" customFormat="1" ht="16.2" customHeight="1" x14ac:dyDescent="0.4">
      <c r="A19" s="156"/>
      <c r="B19" s="61" t="str">
        <f>'2025 IS_Quarterly'!B19</f>
        <v>지배주주 순이익</v>
      </c>
      <c r="C19" s="62" t="str">
        <f>'2025 IS_Quarterly'!C19</f>
        <v>Net Income</v>
      </c>
      <c r="D19" s="399">
        <v>74.250003599999999</v>
      </c>
      <c r="E19" s="399">
        <v>97.960403792999998</v>
      </c>
      <c r="F19" s="395">
        <f t="shared" si="0"/>
        <v>0.3193319736485507</v>
      </c>
      <c r="G19" s="52"/>
      <c r="H19" s="52"/>
      <c r="I19" s="52"/>
      <c r="J19" s="121"/>
      <c r="K19" s="52"/>
      <c r="L19" s="52"/>
      <c r="M19" s="121"/>
      <c r="N19" s="52"/>
      <c r="O19" s="52"/>
      <c r="P19" s="121"/>
      <c r="Q19" s="52"/>
      <c r="R19" s="52"/>
      <c r="S19" s="121"/>
      <c r="T19" s="52"/>
      <c r="U19" s="52"/>
      <c r="V19" s="121"/>
      <c r="W19" s="52"/>
      <c r="X19" s="52"/>
      <c r="Y19" s="121"/>
      <c r="Z19" s="52"/>
      <c r="AA19" s="52"/>
      <c r="AB19" s="121"/>
      <c r="AC19" s="52"/>
      <c r="AD19" s="52"/>
      <c r="AE19" s="121"/>
      <c r="AF19" s="52"/>
      <c r="AG19" s="52"/>
      <c r="AH19" s="121"/>
      <c r="AI19" s="52"/>
      <c r="AJ19" s="52"/>
      <c r="AK19" s="121"/>
      <c r="AL19" s="52"/>
      <c r="AM19" s="52"/>
      <c r="AN19" s="121"/>
      <c r="AO19" s="52"/>
      <c r="AP19" s="52"/>
      <c r="AQ19" s="121"/>
      <c r="AR19" s="52"/>
      <c r="AS19" s="52"/>
      <c r="AT19" s="121"/>
      <c r="AU19" s="52"/>
      <c r="AV19" s="52"/>
      <c r="AW19" s="121"/>
      <c r="AX19" s="52"/>
      <c r="AY19" s="52"/>
      <c r="AZ19" s="63"/>
      <c r="BA19" s="64"/>
      <c r="BB19" s="57"/>
      <c r="BC19" s="52"/>
    </row>
    <row r="20" spans="1:55" s="68" customFormat="1" ht="16.2" customHeight="1" x14ac:dyDescent="0.4">
      <c r="A20" s="156"/>
      <c r="B20" s="199" t="str">
        <f>'2025 IS_Quarterly'!B20</f>
        <v>(%)</v>
      </c>
      <c r="C20" s="200" t="str">
        <f>'2025 IS_Quarterly'!C20</f>
        <v>(%)</v>
      </c>
      <c r="D20" s="400">
        <v>0.41209301200846099</v>
      </c>
      <c r="E20" s="400">
        <v>0.40149362906318403</v>
      </c>
      <c r="F20" s="401"/>
      <c r="G20" s="122"/>
      <c r="H20" s="122"/>
      <c r="I20" s="122"/>
      <c r="J20" s="123"/>
      <c r="K20" s="122"/>
      <c r="L20" s="122"/>
      <c r="M20" s="123"/>
      <c r="N20" s="122"/>
      <c r="O20" s="122"/>
      <c r="P20" s="123"/>
      <c r="Q20" s="122"/>
      <c r="R20" s="122"/>
      <c r="S20" s="123"/>
      <c r="T20" s="122"/>
      <c r="U20" s="122"/>
      <c r="V20" s="123"/>
      <c r="W20" s="122"/>
      <c r="X20" s="122"/>
      <c r="Y20" s="123"/>
      <c r="Z20" s="122"/>
      <c r="AA20" s="122"/>
      <c r="AB20" s="123"/>
      <c r="AC20" s="122"/>
      <c r="AD20" s="122"/>
      <c r="AE20" s="123"/>
      <c r="AF20" s="122"/>
      <c r="AG20" s="122"/>
      <c r="AH20" s="123"/>
      <c r="AI20" s="122"/>
      <c r="AJ20" s="122"/>
      <c r="AK20" s="123"/>
      <c r="AL20" s="122"/>
      <c r="AM20" s="122"/>
      <c r="AN20" s="123"/>
      <c r="AO20" s="122"/>
      <c r="AP20" s="122"/>
      <c r="AQ20" s="123"/>
      <c r="AR20" s="122"/>
      <c r="AS20" s="122"/>
      <c r="AT20" s="123"/>
      <c r="AU20" s="122"/>
      <c r="AV20" s="122"/>
      <c r="AW20" s="123"/>
      <c r="AX20" s="122"/>
      <c r="AY20" s="122"/>
      <c r="AZ20" s="65"/>
      <c r="BA20" s="66"/>
      <c r="BB20" s="57"/>
      <c r="BC20" s="67"/>
    </row>
    <row r="21" spans="1:55" s="518" customFormat="1" ht="16.2" customHeight="1" x14ac:dyDescent="0.4">
      <c r="A21" s="156"/>
      <c r="B21" s="493" t="str">
        <f>'2025 IS_Quarterly'!B21</f>
        <v>감가상각비</v>
      </c>
      <c r="C21" s="494" t="str">
        <f>'2025 IS_Quarterly'!C21</f>
        <v>DA</v>
      </c>
      <c r="D21" s="515">
        <v>4.2782049999999998</v>
      </c>
      <c r="E21" s="515">
        <v>7.2174803819999998</v>
      </c>
      <c r="F21" s="512">
        <f>E21/D21-1</f>
        <v>0.68703472180505609</v>
      </c>
      <c r="G21" s="517"/>
      <c r="H21" s="517"/>
      <c r="I21" s="517"/>
      <c r="J21" s="516"/>
      <c r="K21" s="517"/>
      <c r="L21" s="517"/>
      <c r="M21" s="516"/>
      <c r="N21" s="517"/>
      <c r="O21" s="517"/>
      <c r="P21" s="516"/>
      <c r="Q21" s="517"/>
      <c r="R21" s="517"/>
      <c r="S21" s="516"/>
      <c r="T21" s="517"/>
      <c r="U21" s="517"/>
      <c r="V21" s="516"/>
      <c r="W21" s="517"/>
      <c r="X21" s="517"/>
      <c r="Y21" s="516"/>
      <c r="Z21" s="517"/>
      <c r="AA21" s="517"/>
      <c r="AB21" s="516"/>
      <c r="AC21" s="517"/>
      <c r="AD21" s="517"/>
      <c r="AE21" s="516"/>
      <c r="AF21" s="517"/>
      <c r="AG21" s="517"/>
      <c r="AH21" s="516"/>
      <c r="AI21" s="517"/>
      <c r="AJ21" s="517"/>
      <c r="AK21" s="516"/>
      <c r="AL21" s="517"/>
      <c r="AM21" s="517"/>
      <c r="AN21" s="516"/>
      <c r="AO21" s="517"/>
      <c r="AP21" s="517"/>
      <c r="AQ21" s="516"/>
      <c r="AR21" s="517"/>
      <c r="AS21" s="517"/>
      <c r="AT21" s="516"/>
      <c r="AU21" s="517"/>
      <c r="AV21" s="517"/>
      <c r="AW21" s="516"/>
      <c r="AX21" s="517"/>
      <c r="AY21" s="517"/>
      <c r="AZ21" s="511"/>
      <c r="BA21" s="511"/>
      <c r="BB21" s="510"/>
      <c r="BC21" s="517"/>
    </row>
    <row r="22" spans="1:55" s="50" customFormat="1" ht="16.2" customHeight="1" x14ac:dyDescent="0.4">
      <c r="A22" s="156"/>
      <c r="B22" s="47" t="str">
        <f>'2025 IS_Quarterly'!B22</f>
        <v>EBITDA</v>
      </c>
      <c r="C22" s="48" t="str">
        <f>'2025 IS_Quarterly'!C22</f>
        <v>EBITDA</v>
      </c>
      <c r="D22" s="394">
        <v>93.901205000000004</v>
      </c>
      <c r="E22" s="394">
        <v>129.65879534800001</v>
      </c>
      <c r="F22" s="395">
        <f>E22/D22-1</f>
        <v>0.38080012229875004</v>
      </c>
      <c r="G22" s="52"/>
      <c r="H22" s="52"/>
      <c r="I22" s="52"/>
      <c r="J22" s="118"/>
      <c r="K22" s="52"/>
      <c r="L22" s="52"/>
      <c r="M22" s="118"/>
      <c r="N22" s="52"/>
      <c r="O22" s="52"/>
      <c r="P22" s="118"/>
      <c r="Q22" s="52"/>
      <c r="R22" s="52"/>
      <c r="S22" s="118"/>
      <c r="T22" s="52"/>
      <c r="U22" s="52"/>
      <c r="V22" s="118"/>
      <c r="W22" s="52"/>
      <c r="X22" s="52"/>
      <c r="Y22" s="118"/>
      <c r="Z22" s="52"/>
      <c r="AA22" s="52"/>
      <c r="AB22" s="118"/>
      <c r="AC22" s="52"/>
      <c r="AD22" s="52"/>
      <c r="AE22" s="118"/>
      <c r="AF22" s="52"/>
      <c r="AG22" s="52"/>
      <c r="AH22" s="118"/>
      <c r="AI22" s="52"/>
      <c r="AJ22" s="52"/>
      <c r="AK22" s="118"/>
      <c r="AL22" s="52"/>
      <c r="AM22" s="52"/>
      <c r="AN22" s="118"/>
      <c r="AO22" s="52"/>
      <c r="AP22" s="52"/>
      <c r="AQ22" s="118"/>
      <c r="AR22" s="52"/>
      <c r="AS22" s="52"/>
      <c r="AT22" s="118"/>
      <c r="AU22" s="52"/>
      <c r="AV22" s="52"/>
      <c r="AW22" s="118"/>
      <c r="AX22" s="52"/>
      <c r="AY22" s="52"/>
      <c r="AZ22" s="49"/>
      <c r="BB22" s="57"/>
      <c r="BC22" s="52"/>
    </row>
    <row r="23" spans="1:55" s="50" customFormat="1" ht="16.2" customHeight="1" thickBot="1" x14ac:dyDescent="0.45">
      <c r="A23" s="156"/>
      <c r="B23" s="203" t="str">
        <f>'2025 IS_Quarterly'!B23</f>
        <v>(%)</v>
      </c>
      <c r="C23" s="204" t="str">
        <f>'2025 IS_Quarterly'!C23</f>
        <v>(%)</v>
      </c>
      <c r="D23" s="404">
        <v>0.52131712774048855</v>
      </c>
      <c r="E23" s="404">
        <v>0.53371183131728495</v>
      </c>
      <c r="F23" s="405"/>
      <c r="G23" s="122"/>
      <c r="H23" s="122"/>
      <c r="I23" s="122"/>
      <c r="J23" s="123"/>
      <c r="K23" s="122"/>
      <c r="L23" s="122"/>
      <c r="M23" s="123"/>
      <c r="N23" s="122"/>
      <c r="O23" s="122"/>
      <c r="P23" s="123"/>
      <c r="Q23" s="122"/>
      <c r="R23" s="122"/>
      <c r="S23" s="123"/>
      <c r="T23" s="122"/>
      <c r="U23" s="122"/>
      <c r="V23" s="123"/>
      <c r="W23" s="122"/>
      <c r="X23" s="122"/>
      <c r="Y23" s="123"/>
      <c r="Z23" s="122"/>
      <c r="AA23" s="122"/>
      <c r="AB23" s="123"/>
      <c r="AC23" s="122"/>
      <c r="AD23" s="122"/>
      <c r="AE23" s="123"/>
      <c r="AF23" s="122"/>
      <c r="AG23" s="122"/>
      <c r="AH23" s="123"/>
      <c r="AI23" s="122"/>
      <c r="AJ23" s="122"/>
      <c r="AK23" s="123"/>
      <c r="AL23" s="122"/>
      <c r="AM23" s="122"/>
      <c r="AN23" s="123"/>
      <c r="AO23" s="122"/>
      <c r="AP23" s="122"/>
      <c r="AQ23" s="123"/>
      <c r="AR23" s="122"/>
      <c r="AS23" s="122"/>
      <c r="AT23" s="123"/>
      <c r="AU23" s="122"/>
      <c r="AV23" s="122"/>
      <c r="AW23" s="123"/>
      <c r="AX23" s="122"/>
      <c r="AY23" s="122"/>
      <c r="AZ23" s="49"/>
      <c r="BB23" s="57"/>
      <c r="BC23" s="52"/>
    </row>
    <row r="24" spans="1:55" s="74" customFormat="1" ht="16.2" customHeight="1" x14ac:dyDescent="0.4">
      <c r="A24" s="158"/>
      <c r="B24" s="75"/>
      <c r="C24" s="75"/>
      <c r="D24" s="406"/>
      <c r="E24" s="406"/>
      <c r="F24" s="337"/>
      <c r="J24" s="125"/>
      <c r="M24" s="125"/>
      <c r="P24" s="125"/>
      <c r="S24" s="125"/>
      <c r="V24" s="125"/>
      <c r="Y24" s="125"/>
      <c r="AB24" s="125"/>
      <c r="AE24" s="125"/>
      <c r="AH24" s="125"/>
      <c r="AK24" s="125"/>
      <c r="AN24" s="125"/>
      <c r="AQ24" s="125"/>
      <c r="AT24" s="125"/>
      <c r="AW24" s="125"/>
      <c r="AZ24" s="58"/>
    </row>
    <row r="25" spans="1:55" ht="16.2" customHeight="1" thickBot="1" x14ac:dyDescent="0.45">
      <c r="A25" s="157"/>
      <c r="B25" s="43" t="s">
        <v>256</v>
      </c>
      <c r="C25" s="44"/>
      <c r="D25" s="407"/>
      <c r="E25" s="407"/>
      <c r="J25" s="126"/>
      <c r="M25" s="126"/>
      <c r="P25" s="126"/>
      <c r="S25" s="126"/>
      <c r="V25" s="126"/>
      <c r="Y25" s="126"/>
      <c r="AB25" s="126"/>
      <c r="AE25" s="126"/>
      <c r="AH25" s="126"/>
      <c r="AK25" s="126"/>
      <c r="AN25" s="126"/>
      <c r="AQ25" s="126"/>
      <c r="AT25" s="126"/>
      <c r="AW25" s="126"/>
      <c r="AZ25" s="42"/>
    </row>
    <row r="26" spans="1:55" s="21" customFormat="1" ht="16.2" customHeight="1" x14ac:dyDescent="0.4">
      <c r="A26" s="156"/>
      <c r="B26" s="24" t="str">
        <f>'2025 IS_Quarterly'!B26</f>
        <v>(단위 : 십억원)</v>
      </c>
      <c r="C26" s="197" t="str">
        <f>'2025 IS_Quarterly'!C26</f>
        <v>(Unit: Billion KRW)</v>
      </c>
      <c r="D26" s="392">
        <f>D3</f>
        <v>2023</v>
      </c>
      <c r="E26" s="392">
        <v>2024</v>
      </c>
      <c r="F26" s="393" t="s">
        <v>2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44"/>
      <c r="BA26" s="12"/>
      <c r="BB26" s="12"/>
      <c r="BC26" s="12"/>
    </row>
    <row r="27" spans="1:55" s="21" customFormat="1" ht="16.2" customHeight="1" x14ac:dyDescent="0.4">
      <c r="A27" s="156"/>
      <c r="B27" s="76" t="str">
        <f>'2025 IS_Quarterly'!B27</f>
        <v>장비</v>
      </c>
      <c r="C27" s="77" t="str">
        <f>'2025 IS_Quarterly'!C27</f>
        <v>Device</v>
      </c>
      <c r="D27" s="127">
        <f t="shared" ref="D27:E27" si="1">D28+D29</f>
        <v>95.075313908353948</v>
      </c>
      <c r="E27" s="127">
        <f t="shared" si="1"/>
        <v>124.27872867451566</v>
      </c>
      <c r="F27" s="408">
        <f t="shared" ref="F27:F40" si="2">E27/D27-1</f>
        <v>0.30716085559614137</v>
      </c>
      <c r="G27" s="52"/>
      <c r="H27" s="52"/>
      <c r="I27" s="52"/>
      <c r="J27" s="128"/>
      <c r="K27" s="52"/>
      <c r="L27" s="52"/>
      <c r="M27" s="128"/>
      <c r="N27" s="52"/>
      <c r="O27" s="52"/>
      <c r="P27" s="128"/>
      <c r="Q27" s="52"/>
      <c r="R27" s="52"/>
      <c r="S27" s="128"/>
      <c r="T27" s="52"/>
      <c r="U27" s="52"/>
      <c r="V27" s="128"/>
      <c r="W27" s="52"/>
      <c r="X27" s="52"/>
      <c r="Y27" s="128"/>
      <c r="Z27" s="52"/>
      <c r="AA27" s="52"/>
      <c r="AB27" s="128"/>
      <c r="AC27" s="52"/>
      <c r="AD27" s="52"/>
      <c r="AE27" s="128"/>
      <c r="AF27" s="52"/>
      <c r="AG27" s="52"/>
      <c r="AH27" s="128"/>
      <c r="AI27" s="52"/>
      <c r="AJ27" s="52"/>
      <c r="AK27" s="128"/>
      <c r="AL27" s="52"/>
      <c r="AM27" s="52"/>
      <c r="AN27" s="128"/>
      <c r="AO27" s="52"/>
      <c r="AP27" s="52"/>
      <c r="AQ27" s="128"/>
      <c r="AR27" s="52"/>
      <c r="AS27" s="52"/>
      <c r="AT27" s="128"/>
      <c r="AU27" s="52"/>
      <c r="AV27" s="52"/>
      <c r="AW27" s="128"/>
      <c r="AX27" s="52"/>
      <c r="AY27" s="52"/>
      <c r="AZ27" s="63"/>
      <c r="BA27" s="64"/>
      <c r="BB27" s="57"/>
      <c r="BC27" s="52"/>
    </row>
    <row r="28" spans="1:55" s="89" customFormat="1" ht="16.2" customHeight="1" x14ac:dyDescent="0.4">
      <c r="A28" s="156"/>
      <c r="B28" s="83" t="str">
        <f>'2025 IS_Quarterly'!B28</f>
        <v>수출</v>
      </c>
      <c r="C28" s="84" t="str">
        <f>'2025 IS_Quarterly'!C28</f>
        <v>Global</v>
      </c>
      <c r="D28" s="409">
        <v>67.927240226999999</v>
      </c>
      <c r="E28" s="409">
        <v>94.899339549000018</v>
      </c>
      <c r="F28" s="403">
        <f t="shared" si="2"/>
        <v>0.39707338663935654</v>
      </c>
      <c r="G28" s="149"/>
      <c r="H28" s="574"/>
      <c r="I28" s="574"/>
      <c r="J28" s="129"/>
      <c r="K28" s="88"/>
      <c r="L28" s="88"/>
      <c r="M28" s="129"/>
      <c r="N28" s="88"/>
      <c r="O28" s="88"/>
      <c r="P28" s="129"/>
      <c r="Q28" s="88"/>
      <c r="R28" s="88"/>
      <c r="S28" s="129"/>
      <c r="T28" s="88"/>
      <c r="U28" s="88"/>
      <c r="V28" s="129"/>
      <c r="W28" s="88"/>
      <c r="X28" s="88"/>
      <c r="Y28" s="129"/>
      <c r="Z28" s="88"/>
      <c r="AA28" s="88"/>
      <c r="AB28" s="129"/>
      <c r="AC28" s="88"/>
      <c r="AD28" s="88"/>
      <c r="AE28" s="129"/>
      <c r="AF28" s="88"/>
      <c r="AG28" s="88"/>
      <c r="AH28" s="129"/>
      <c r="AI28" s="88"/>
      <c r="AJ28" s="88"/>
      <c r="AK28" s="129"/>
      <c r="AL28" s="88"/>
      <c r="AM28" s="88"/>
      <c r="AN28" s="129"/>
      <c r="AO28" s="88"/>
      <c r="AP28" s="88"/>
      <c r="AQ28" s="129"/>
      <c r="AR28" s="88"/>
      <c r="AS28" s="88"/>
      <c r="AT28" s="129"/>
      <c r="AU28" s="88"/>
      <c r="AV28" s="88"/>
      <c r="AW28" s="129"/>
      <c r="AX28" s="88"/>
      <c r="AY28" s="88"/>
      <c r="AZ28" s="85"/>
      <c r="BA28" s="86"/>
      <c r="BB28" s="87"/>
      <c r="BC28" s="88"/>
    </row>
    <row r="29" spans="1:55" s="89" customFormat="1" ht="16.2" customHeight="1" x14ac:dyDescent="0.4">
      <c r="A29" s="156"/>
      <c r="B29" s="83" t="str">
        <f>'2025 IS_Quarterly'!B29</f>
        <v>내수</v>
      </c>
      <c r="C29" s="84" t="str">
        <f>'2025 IS_Quarterly'!C29</f>
        <v>Korea</v>
      </c>
      <c r="D29" s="409">
        <v>27.148073681353946</v>
      </c>
      <c r="E29" s="409">
        <v>29.379389125515651</v>
      </c>
      <c r="F29" s="403">
        <f t="shared" si="2"/>
        <v>8.2190562407904233E-2</v>
      </c>
      <c r="G29" s="88"/>
      <c r="H29" s="575"/>
      <c r="I29" s="575"/>
      <c r="K29" s="88"/>
      <c r="M29" s="129"/>
      <c r="O29" s="88"/>
      <c r="P29" s="129"/>
      <c r="Q29" s="88"/>
      <c r="R29" s="88"/>
      <c r="S29" s="129"/>
      <c r="T29" s="88"/>
      <c r="U29" s="88"/>
      <c r="V29" s="129"/>
      <c r="W29" s="88"/>
      <c r="X29" s="88"/>
      <c r="Y29" s="129"/>
      <c r="Z29" s="88"/>
      <c r="AA29" s="88"/>
      <c r="AB29" s="129"/>
      <c r="AC29" s="88"/>
      <c r="AD29" s="88"/>
      <c r="AE29" s="129"/>
      <c r="AF29" s="88"/>
      <c r="AG29" s="88"/>
      <c r="AH29" s="129"/>
      <c r="AI29" s="88"/>
      <c r="AJ29" s="88"/>
      <c r="AK29" s="129"/>
      <c r="AL29" s="88"/>
      <c r="AM29" s="88"/>
      <c r="AN29" s="129"/>
      <c r="AO29" s="88"/>
      <c r="AP29" s="88"/>
      <c r="AQ29" s="129"/>
      <c r="AR29" s="88"/>
      <c r="AS29" s="88"/>
      <c r="AT29" s="129"/>
      <c r="AU29" s="88"/>
      <c r="AV29" s="88"/>
      <c r="AW29" s="129"/>
      <c r="AX29" s="88"/>
      <c r="AY29" s="88"/>
      <c r="AZ29" s="85"/>
      <c r="BA29" s="86"/>
      <c r="BB29" s="87"/>
      <c r="BC29" s="88"/>
    </row>
    <row r="30" spans="1:55" s="21" customFormat="1" ht="16.2" customHeight="1" x14ac:dyDescent="0.4">
      <c r="A30" s="156"/>
      <c r="B30" s="76" t="str">
        <f>'2025 IS_Quarterly'!B30</f>
        <v>소모품</v>
      </c>
      <c r="C30" s="77" t="str">
        <f>'2025 IS_Quarterly'!C30</f>
        <v>Consumable</v>
      </c>
      <c r="D30" s="127">
        <f t="shared" ref="D30:E30" si="3">D31+D32</f>
        <v>81.042754387000002</v>
      </c>
      <c r="E30" s="127">
        <f t="shared" si="3"/>
        <v>112.92069065999999</v>
      </c>
      <c r="F30" s="408">
        <f t="shared" si="2"/>
        <v>0.39334714761512979</v>
      </c>
      <c r="G30" s="52"/>
      <c r="H30" s="576"/>
      <c r="J30" s="128"/>
      <c r="K30" s="52"/>
      <c r="L30" s="52"/>
      <c r="M30" s="128"/>
      <c r="N30" s="52"/>
      <c r="O30" s="52"/>
      <c r="P30" s="128"/>
      <c r="Q30" s="52"/>
      <c r="R30" s="52"/>
      <c r="S30" s="128"/>
      <c r="T30" s="52"/>
      <c r="U30" s="52"/>
      <c r="V30" s="128"/>
      <c r="W30" s="52"/>
      <c r="X30" s="52"/>
      <c r="Y30" s="128"/>
      <c r="Z30" s="52"/>
      <c r="AA30" s="52"/>
      <c r="AB30" s="128"/>
      <c r="AC30" s="52"/>
      <c r="AD30" s="52"/>
      <c r="AE30" s="128"/>
      <c r="AF30" s="52"/>
      <c r="AG30" s="52"/>
      <c r="AH30" s="128"/>
      <c r="AI30" s="52"/>
      <c r="AJ30" s="52"/>
      <c r="AK30" s="128"/>
      <c r="AL30" s="52"/>
      <c r="AM30" s="52"/>
      <c r="AN30" s="128"/>
      <c r="AO30" s="52"/>
      <c r="AP30" s="52"/>
      <c r="AQ30" s="128"/>
      <c r="AR30" s="52"/>
      <c r="AS30" s="52"/>
      <c r="AT30" s="128"/>
      <c r="AU30" s="52"/>
      <c r="AV30" s="52"/>
      <c r="AW30" s="128"/>
      <c r="AX30" s="52"/>
      <c r="AY30" s="52"/>
      <c r="AZ30" s="63"/>
      <c r="BA30" s="64"/>
      <c r="BB30" s="57"/>
      <c r="BC30" s="52"/>
    </row>
    <row r="31" spans="1:55" s="89" customFormat="1" ht="16.2" customHeight="1" x14ac:dyDescent="0.4">
      <c r="A31" s="156"/>
      <c r="B31" s="83" t="str">
        <f>'2025 IS_Quarterly'!B31</f>
        <v>수출</v>
      </c>
      <c r="C31" s="84" t="str">
        <f>'2025 IS_Quarterly'!C31</f>
        <v>Global</v>
      </c>
      <c r="D31" s="409">
        <v>47.778450346000007</v>
      </c>
      <c r="E31" s="409">
        <v>66.958817123999992</v>
      </c>
      <c r="F31" s="403">
        <f t="shared" si="2"/>
        <v>0.40144388608463433</v>
      </c>
      <c r="G31" s="88"/>
      <c r="H31" s="577"/>
      <c r="I31" s="576"/>
      <c r="J31" s="129"/>
      <c r="K31" s="88"/>
      <c r="L31" s="88"/>
      <c r="M31" s="129"/>
      <c r="N31" s="88"/>
      <c r="O31" s="88"/>
      <c r="P31" s="129"/>
      <c r="Q31" s="88"/>
      <c r="R31" s="88"/>
      <c r="S31" s="129"/>
      <c r="T31" s="88"/>
      <c r="U31" s="88"/>
      <c r="V31" s="129"/>
      <c r="W31" s="88"/>
      <c r="X31" s="88"/>
      <c r="Y31" s="129"/>
      <c r="Z31" s="88"/>
      <c r="AA31" s="88"/>
      <c r="AB31" s="129"/>
      <c r="AC31" s="88"/>
      <c r="AD31" s="88"/>
      <c r="AE31" s="129"/>
      <c r="AF31" s="88"/>
      <c r="AG31" s="88"/>
      <c r="AH31" s="129"/>
      <c r="AI31" s="88"/>
      <c r="AJ31" s="88"/>
      <c r="AK31" s="129"/>
      <c r="AL31" s="88"/>
      <c r="AM31" s="88"/>
      <c r="AN31" s="129"/>
      <c r="AO31" s="88"/>
      <c r="AP31" s="88"/>
      <c r="AQ31" s="129"/>
      <c r="AR31" s="88"/>
      <c r="AS31" s="88"/>
      <c r="AT31" s="129"/>
      <c r="AU31" s="88"/>
      <c r="AV31" s="88"/>
      <c r="AW31" s="129"/>
      <c r="AX31" s="88"/>
      <c r="AY31" s="88"/>
      <c r="AZ31" s="85"/>
      <c r="BA31" s="86"/>
      <c r="BB31" s="87"/>
      <c r="BC31" s="88"/>
    </row>
    <row r="32" spans="1:55" s="89" customFormat="1" ht="16.2" customHeight="1" x14ac:dyDescent="0.4">
      <c r="A32" s="156"/>
      <c r="B32" s="83" t="str">
        <f>'2025 IS_Quarterly'!B32</f>
        <v>내수</v>
      </c>
      <c r="C32" s="84" t="str">
        <f>'2025 IS_Quarterly'!C32</f>
        <v>Korea</v>
      </c>
      <c r="D32" s="409">
        <v>33.264304041000003</v>
      </c>
      <c r="E32" s="409">
        <v>45.961873535999999</v>
      </c>
      <c r="F32" s="403">
        <f t="shared" si="2"/>
        <v>0.38171757567359821</v>
      </c>
      <c r="G32" s="88"/>
      <c r="H32" s="575"/>
      <c r="I32" s="577"/>
      <c r="J32" s="129"/>
      <c r="K32" s="88"/>
      <c r="L32" s="88"/>
      <c r="M32" s="129"/>
      <c r="N32" s="88"/>
      <c r="O32" s="88"/>
      <c r="P32" s="129"/>
      <c r="Q32" s="88"/>
      <c r="R32" s="88"/>
      <c r="S32" s="129"/>
      <c r="T32" s="88"/>
      <c r="U32" s="88"/>
      <c r="V32" s="129"/>
      <c r="W32" s="88"/>
      <c r="X32" s="88"/>
      <c r="Y32" s="129"/>
      <c r="Z32" s="88"/>
      <c r="AA32" s="88"/>
      <c r="AB32" s="129"/>
      <c r="AC32" s="88"/>
      <c r="AD32" s="88"/>
      <c r="AE32" s="129"/>
      <c r="AF32" s="88"/>
      <c r="AG32" s="88"/>
      <c r="AH32" s="129"/>
      <c r="AI32" s="88"/>
      <c r="AJ32" s="88"/>
      <c r="AK32" s="129"/>
      <c r="AL32" s="88"/>
      <c r="AM32" s="88"/>
      <c r="AN32" s="129"/>
      <c r="AO32" s="88"/>
      <c r="AP32" s="88"/>
      <c r="AQ32" s="129"/>
      <c r="AR32" s="88"/>
      <c r="AS32" s="88"/>
      <c r="AT32" s="129"/>
      <c r="AU32" s="88"/>
      <c r="AV32" s="88"/>
      <c r="AW32" s="129"/>
      <c r="AX32" s="88"/>
      <c r="AY32" s="88"/>
      <c r="AZ32" s="85"/>
      <c r="BA32" s="86"/>
      <c r="BB32" s="87"/>
      <c r="BC32" s="88"/>
    </row>
    <row r="33" spans="1:55" s="21" customFormat="1" ht="16.2" customHeight="1" x14ac:dyDescent="0.4">
      <c r="A33" s="156"/>
      <c r="B33" s="76" t="str">
        <f>'2025 IS_Quarterly'!B33</f>
        <v>홈케어</v>
      </c>
      <c r="C33" s="77" t="str">
        <f>'2025 IS_Quarterly'!C33</f>
        <v>Homecare</v>
      </c>
      <c r="D33" s="127">
        <f t="shared" ref="D33:E33" si="4">D34+D35</f>
        <v>2.4407768980000002</v>
      </c>
      <c r="E33" s="127">
        <f t="shared" si="4"/>
        <v>4.7272120039999992</v>
      </c>
      <c r="F33" s="408">
        <f t="shared" si="2"/>
        <v>0.93676530119304613</v>
      </c>
      <c r="G33" s="52"/>
      <c r="H33" s="576"/>
      <c r="J33" s="128"/>
      <c r="K33" s="52"/>
      <c r="L33" s="52"/>
      <c r="M33" s="128"/>
      <c r="N33" s="52"/>
      <c r="O33" s="52"/>
      <c r="P33" s="128"/>
      <c r="Q33" s="52"/>
      <c r="R33" s="52"/>
      <c r="S33" s="128"/>
      <c r="T33" s="52"/>
      <c r="U33" s="52"/>
      <c r="V33" s="128"/>
      <c r="W33" s="52"/>
      <c r="X33" s="52"/>
      <c r="Y33" s="128"/>
      <c r="Z33" s="52"/>
      <c r="AA33" s="52"/>
      <c r="AB33" s="128"/>
      <c r="AC33" s="52"/>
      <c r="AD33" s="52"/>
      <c r="AE33" s="128"/>
      <c r="AF33" s="52"/>
      <c r="AG33" s="52"/>
      <c r="AH33" s="128"/>
      <c r="AI33" s="52"/>
      <c r="AJ33" s="52"/>
      <c r="AK33" s="128"/>
      <c r="AL33" s="52"/>
      <c r="AM33" s="52"/>
      <c r="AN33" s="128"/>
      <c r="AO33" s="52"/>
      <c r="AP33" s="52"/>
      <c r="AQ33" s="128"/>
      <c r="AR33" s="52"/>
      <c r="AS33" s="52"/>
      <c r="AT33" s="128"/>
      <c r="AU33" s="52"/>
      <c r="AV33" s="52"/>
      <c r="AW33" s="128"/>
      <c r="AX33" s="52"/>
      <c r="AY33" s="52"/>
      <c r="AZ33" s="63"/>
      <c r="BA33" s="64"/>
      <c r="BB33" s="57"/>
      <c r="BC33" s="52"/>
    </row>
    <row r="34" spans="1:55" s="89" customFormat="1" ht="16.2" customHeight="1" x14ac:dyDescent="0.4">
      <c r="A34" s="156"/>
      <c r="B34" s="83" t="str">
        <f>'2025 IS_Quarterly'!B34</f>
        <v>수출</v>
      </c>
      <c r="C34" s="84" t="str">
        <f>'2025 IS_Quarterly'!C34</f>
        <v>Global</v>
      </c>
      <c r="D34" s="409">
        <v>0.82575596100000015</v>
      </c>
      <c r="E34" s="409">
        <v>1.2960373169999995</v>
      </c>
      <c r="F34" s="403">
        <f t="shared" si="2"/>
        <v>0.56951615030484692</v>
      </c>
      <c r="G34" s="88"/>
      <c r="H34" s="575"/>
      <c r="I34" s="575"/>
      <c r="J34" s="129"/>
      <c r="K34" s="88"/>
      <c r="L34" s="88"/>
      <c r="M34" s="129"/>
      <c r="N34" s="88"/>
      <c r="O34" s="88"/>
      <c r="P34" s="129"/>
      <c r="Q34" s="88"/>
      <c r="R34" s="88"/>
      <c r="S34" s="129"/>
      <c r="T34" s="88"/>
      <c r="U34" s="88"/>
      <c r="V34" s="129"/>
      <c r="W34" s="88"/>
      <c r="X34" s="88"/>
      <c r="Y34" s="129"/>
      <c r="Z34" s="88"/>
      <c r="AA34" s="88"/>
      <c r="AB34" s="129"/>
      <c r="AC34" s="88"/>
      <c r="AD34" s="88"/>
      <c r="AE34" s="129"/>
      <c r="AF34" s="88"/>
      <c r="AG34" s="88"/>
      <c r="AH34" s="129"/>
      <c r="AI34" s="88"/>
      <c r="AJ34" s="88"/>
      <c r="AK34" s="129"/>
      <c r="AL34" s="88"/>
      <c r="AM34" s="88"/>
      <c r="AN34" s="129"/>
      <c r="AO34" s="88"/>
      <c r="AP34" s="88"/>
      <c r="AQ34" s="129"/>
      <c r="AR34" s="88"/>
      <c r="AS34" s="88"/>
      <c r="AT34" s="129"/>
      <c r="AU34" s="88"/>
      <c r="AV34" s="88"/>
      <c r="AW34" s="129"/>
      <c r="AX34" s="88"/>
      <c r="AY34" s="88"/>
      <c r="AZ34" s="85"/>
      <c r="BA34" s="86"/>
      <c r="BB34" s="87"/>
      <c r="BC34" s="88"/>
    </row>
    <row r="35" spans="1:55" s="89" customFormat="1" ht="16.2" customHeight="1" x14ac:dyDescent="0.4">
      <c r="A35" s="156"/>
      <c r="B35" s="83" t="str">
        <f>'2025 IS_Quarterly'!B35</f>
        <v>내수</v>
      </c>
      <c r="C35" s="84" t="str">
        <f>'2025 IS_Quarterly'!C35</f>
        <v>Korea</v>
      </c>
      <c r="D35" s="409">
        <v>1.6150209369999999</v>
      </c>
      <c r="E35" s="409">
        <v>3.4311746869999995</v>
      </c>
      <c r="F35" s="403">
        <f t="shared" si="2"/>
        <v>1.1245388269539194</v>
      </c>
      <c r="G35" s="88"/>
      <c r="H35" s="577"/>
      <c r="I35" s="576"/>
      <c r="J35" s="129"/>
      <c r="K35" s="88"/>
      <c r="L35" s="88"/>
      <c r="M35" s="129"/>
      <c r="N35" s="88"/>
      <c r="O35" s="88"/>
      <c r="P35" s="129"/>
      <c r="Q35" s="88"/>
      <c r="R35" s="88"/>
      <c r="S35" s="129"/>
      <c r="T35" s="88"/>
      <c r="U35" s="88"/>
      <c r="V35" s="129"/>
      <c r="W35" s="88"/>
      <c r="X35" s="88"/>
      <c r="Y35" s="129"/>
      <c r="Z35" s="88"/>
      <c r="AA35" s="88"/>
      <c r="AB35" s="129"/>
      <c r="AC35" s="88"/>
      <c r="AD35" s="88"/>
      <c r="AE35" s="129"/>
      <c r="AF35" s="88"/>
      <c r="AG35" s="88"/>
      <c r="AH35" s="129"/>
      <c r="AI35" s="88"/>
      <c r="AJ35" s="88"/>
      <c r="AK35" s="129"/>
      <c r="AL35" s="88"/>
      <c r="AM35" s="88"/>
      <c r="AN35" s="129"/>
      <c r="AO35" s="88"/>
      <c r="AP35" s="88"/>
      <c r="AQ35" s="129"/>
      <c r="AR35" s="88"/>
      <c r="AS35" s="88"/>
      <c r="AT35" s="129"/>
      <c r="AU35" s="88"/>
      <c r="AV35" s="88"/>
      <c r="AW35" s="129"/>
      <c r="AX35" s="88"/>
      <c r="AY35" s="88"/>
      <c r="AZ35" s="85"/>
      <c r="BA35" s="86"/>
      <c r="BB35" s="87"/>
      <c r="BC35" s="88"/>
    </row>
    <row r="36" spans="1:55" s="21" customFormat="1" ht="16.2" customHeight="1" x14ac:dyDescent="0.4">
      <c r="A36" s="156"/>
      <c r="B36" s="76" t="str">
        <f>'2025 IS_Quarterly'!B36</f>
        <v>임대료</v>
      </c>
      <c r="C36" s="77" t="str">
        <f>'2025 IS_Quarterly'!C36</f>
        <v>Rentals</v>
      </c>
      <c r="D36" s="127">
        <v>1.574737268</v>
      </c>
      <c r="E36" s="127">
        <v>1.0116344770000001</v>
      </c>
      <c r="F36" s="408">
        <f t="shared" si="2"/>
        <v>-0.35758523179880697</v>
      </c>
      <c r="G36" s="52"/>
      <c r="H36" s="575"/>
      <c r="I36" s="575"/>
      <c r="J36" s="128"/>
      <c r="K36" s="52"/>
      <c r="L36" s="52"/>
      <c r="M36" s="128"/>
      <c r="N36" s="52"/>
      <c r="O36" s="52"/>
      <c r="P36" s="128"/>
      <c r="Q36" s="52"/>
      <c r="R36" s="52"/>
      <c r="S36" s="128"/>
      <c r="T36" s="52"/>
      <c r="U36" s="52"/>
      <c r="V36" s="128"/>
      <c r="W36" s="52"/>
      <c r="X36" s="52"/>
      <c r="Y36" s="128"/>
      <c r="Z36" s="52"/>
      <c r="AA36" s="52"/>
      <c r="AB36" s="128"/>
      <c r="AC36" s="52"/>
      <c r="AD36" s="52"/>
      <c r="AE36" s="128"/>
      <c r="AF36" s="52"/>
      <c r="AG36" s="52"/>
      <c r="AH36" s="128"/>
      <c r="AI36" s="52"/>
      <c r="AJ36" s="52"/>
      <c r="AK36" s="128"/>
      <c r="AL36" s="52"/>
      <c r="AM36" s="52"/>
      <c r="AN36" s="128"/>
      <c r="AO36" s="52"/>
      <c r="AP36" s="52"/>
      <c r="AQ36" s="128"/>
      <c r="AR36" s="52"/>
      <c r="AS36" s="52"/>
      <c r="AT36" s="128"/>
      <c r="AU36" s="52"/>
      <c r="AV36" s="52"/>
      <c r="AW36" s="128"/>
      <c r="AX36" s="52"/>
      <c r="AY36" s="52"/>
      <c r="AZ36" s="63"/>
      <c r="BA36" s="64"/>
      <c r="BB36" s="57"/>
      <c r="BC36" s="52"/>
    </row>
    <row r="37" spans="1:55" s="50" customFormat="1" ht="16.2" customHeight="1" x14ac:dyDescent="0.4">
      <c r="A37" s="156"/>
      <c r="B37" s="90" t="str">
        <f>'2025 IS_Quarterly'!B37</f>
        <v>총계</v>
      </c>
      <c r="C37" s="91" t="str">
        <f>'2025 IS_Quarterly'!C37</f>
        <v>Total</v>
      </c>
      <c r="D37" s="410">
        <f>D38+D39</f>
        <v>180.13358246135394</v>
      </c>
      <c r="E37" s="410">
        <f>E38+E39</f>
        <v>242.93826581551565</v>
      </c>
      <c r="F37" s="411">
        <f t="shared" si="2"/>
        <v>0.34865616114438791</v>
      </c>
      <c r="G37" s="52"/>
      <c r="H37" s="52"/>
      <c r="I37" s="52"/>
      <c r="J37" s="118"/>
      <c r="K37" s="52"/>
      <c r="L37" s="52"/>
      <c r="M37" s="118"/>
      <c r="N37" s="52"/>
      <c r="O37" s="52"/>
      <c r="P37" s="118"/>
      <c r="Q37" s="52"/>
      <c r="R37" s="52"/>
      <c r="S37" s="118"/>
      <c r="T37" s="52"/>
      <c r="U37" s="52"/>
      <c r="V37" s="118"/>
      <c r="W37" s="52"/>
      <c r="X37" s="52"/>
      <c r="Y37" s="118"/>
      <c r="Z37" s="52"/>
      <c r="AA37" s="52"/>
      <c r="AB37" s="118"/>
      <c r="AC37" s="52"/>
      <c r="AD37" s="52"/>
      <c r="AE37" s="118"/>
      <c r="AF37" s="52"/>
      <c r="AG37" s="52"/>
      <c r="AH37" s="118"/>
      <c r="AI37" s="52"/>
      <c r="AJ37" s="52"/>
      <c r="AK37" s="118"/>
      <c r="AL37" s="52"/>
      <c r="AM37" s="52"/>
      <c r="AN37" s="118"/>
      <c r="AO37" s="52"/>
      <c r="AP37" s="52"/>
      <c r="AQ37" s="118"/>
      <c r="AR37" s="52"/>
      <c r="AS37" s="52"/>
      <c r="AT37" s="118"/>
      <c r="AU37" s="52"/>
      <c r="AV37" s="52"/>
      <c r="AW37" s="118"/>
      <c r="AX37" s="52"/>
      <c r="AY37" s="52"/>
      <c r="AZ37" s="49"/>
      <c r="BB37" s="57"/>
      <c r="BC37" s="52"/>
    </row>
    <row r="38" spans="1:55" s="89" customFormat="1" ht="16.2" customHeight="1" x14ac:dyDescent="0.4">
      <c r="A38" s="156"/>
      <c r="B38" s="83" t="str">
        <f>'2025 IS_Quarterly'!B38</f>
        <v>수출</v>
      </c>
      <c r="C38" s="84" t="str">
        <f>'2025 IS_Quarterly'!C38</f>
        <v>Global</v>
      </c>
      <c r="D38" s="409">
        <f>D28+D31+D34</f>
        <v>116.531446534</v>
      </c>
      <c r="E38" s="409">
        <f>E28+E31+E34</f>
        <v>163.15419398999998</v>
      </c>
      <c r="F38" s="403">
        <f t="shared" si="2"/>
        <v>0.40008726264628502</v>
      </c>
      <c r="G38" s="88"/>
      <c r="H38" s="88"/>
      <c r="I38" s="88"/>
      <c r="J38" s="129"/>
      <c r="K38" s="88"/>
      <c r="L38" s="88"/>
      <c r="M38" s="129"/>
      <c r="N38" s="88"/>
      <c r="O38" s="88"/>
      <c r="P38" s="129"/>
      <c r="Q38" s="88"/>
      <c r="R38" s="88"/>
      <c r="S38" s="129"/>
      <c r="T38" s="88"/>
      <c r="U38" s="88"/>
      <c r="V38" s="129"/>
      <c r="W38" s="88"/>
      <c r="X38" s="88"/>
      <c r="Y38" s="129"/>
      <c r="Z38" s="88"/>
      <c r="AA38" s="88"/>
      <c r="AB38" s="129"/>
      <c r="AC38" s="88"/>
      <c r="AD38" s="88"/>
      <c r="AE38" s="129"/>
      <c r="AF38" s="88"/>
      <c r="AG38" s="88"/>
      <c r="AH38" s="129"/>
      <c r="AI38" s="88"/>
      <c r="AJ38" s="88"/>
      <c r="AK38" s="129"/>
      <c r="AL38" s="88"/>
      <c r="AM38" s="88"/>
      <c r="AN38" s="129"/>
      <c r="AO38" s="88"/>
      <c r="AP38" s="88"/>
      <c r="AQ38" s="129"/>
      <c r="AR38" s="88"/>
      <c r="AS38" s="88"/>
      <c r="AT38" s="129"/>
      <c r="AU38" s="88"/>
      <c r="AV38" s="88"/>
      <c r="AW38" s="129"/>
      <c r="AX38" s="88"/>
      <c r="AY38" s="88"/>
      <c r="AZ38" s="85"/>
      <c r="BA38" s="86"/>
      <c r="BB38" s="87"/>
      <c r="BC38" s="88"/>
    </row>
    <row r="39" spans="1:55" ht="16.2" customHeight="1" thickBot="1" x14ac:dyDescent="0.45">
      <c r="B39" s="83" t="str">
        <f>'2025 IS_Quarterly'!B39</f>
        <v>내수</v>
      </c>
      <c r="C39" s="84" t="str">
        <f>'2025 IS_Quarterly'!C39</f>
        <v>Korea</v>
      </c>
      <c r="D39" s="409">
        <f>D29+D32+D35+D36</f>
        <v>63.602135927353949</v>
      </c>
      <c r="E39" s="409">
        <f>E29+E32+E35+E36</f>
        <v>79.784071825515653</v>
      </c>
      <c r="F39" s="403">
        <f t="shared" si="2"/>
        <v>0.2544244098444215</v>
      </c>
      <c r="G39" s="88"/>
      <c r="H39" s="88"/>
      <c r="I39" s="88"/>
      <c r="J39" s="129"/>
      <c r="K39" s="88"/>
      <c r="L39" s="88"/>
      <c r="M39" s="129"/>
      <c r="N39" s="88"/>
      <c r="O39" s="88"/>
      <c r="P39" s="129"/>
      <c r="Q39" s="88"/>
      <c r="R39" s="88"/>
      <c r="S39" s="129"/>
      <c r="T39" s="88"/>
      <c r="U39" s="88"/>
      <c r="V39" s="129"/>
      <c r="W39" s="88"/>
      <c r="X39" s="88"/>
      <c r="Y39" s="129"/>
      <c r="Z39" s="88"/>
      <c r="AA39" s="88"/>
      <c r="AB39" s="129"/>
      <c r="AC39" s="88"/>
      <c r="AD39" s="88"/>
      <c r="AE39" s="129"/>
      <c r="AF39" s="88"/>
      <c r="AG39" s="88"/>
      <c r="AH39" s="129"/>
      <c r="AI39" s="88"/>
      <c r="AJ39" s="88"/>
      <c r="AK39" s="129"/>
      <c r="AL39" s="88"/>
      <c r="AM39" s="88"/>
      <c r="AN39" s="129"/>
      <c r="AO39" s="88"/>
      <c r="AP39" s="88"/>
      <c r="AQ39" s="129"/>
      <c r="AR39" s="88"/>
      <c r="AS39" s="88"/>
      <c r="AT39" s="129"/>
      <c r="AU39" s="88"/>
      <c r="AV39" s="88"/>
      <c r="AW39" s="129"/>
      <c r="AX39" s="88"/>
      <c r="AY39" s="88"/>
      <c r="AZ39" s="85"/>
      <c r="BA39" s="92"/>
      <c r="BB39" s="87"/>
      <c r="BC39" s="88"/>
    </row>
    <row r="40" spans="1:55" ht="16.2" customHeight="1" thickBot="1" x14ac:dyDescent="0.45">
      <c r="B40" s="145" t="str">
        <f>'2025 IS_Quarterly'!B40</f>
        <v>브라질</v>
      </c>
      <c r="C40" s="146" t="str">
        <f>'2025 IS_Quarterly'!C40</f>
        <v>Brazil</v>
      </c>
      <c r="D40" s="412">
        <v>49.079414834000005</v>
      </c>
      <c r="E40" s="412">
        <v>52.682747797000005</v>
      </c>
      <c r="F40" s="413">
        <f t="shared" si="2"/>
        <v>7.3418417379006229E-2</v>
      </c>
      <c r="G40" s="88"/>
      <c r="H40" s="88"/>
      <c r="I40" s="88"/>
      <c r="J40" s="129"/>
      <c r="K40" s="88"/>
      <c r="L40" s="88"/>
      <c r="M40" s="129"/>
      <c r="N40" s="88"/>
      <c r="O40" s="88"/>
      <c r="P40" s="129"/>
      <c r="Q40" s="88"/>
      <c r="R40" s="88"/>
      <c r="S40" s="129"/>
      <c r="T40" s="88"/>
      <c r="U40" s="88"/>
      <c r="V40" s="129"/>
      <c r="W40" s="88"/>
      <c r="X40" s="88"/>
      <c r="Y40" s="129"/>
      <c r="Z40" s="88"/>
      <c r="AA40" s="88"/>
      <c r="AB40" s="129"/>
      <c r="AC40" s="88"/>
      <c r="AD40" s="88"/>
      <c r="AE40" s="129"/>
      <c r="AF40" s="88"/>
      <c r="AG40" s="88"/>
      <c r="AH40" s="129"/>
      <c r="AI40" s="88"/>
      <c r="AJ40" s="88"/>
      <c r="AK40" s="129"/>
      <c r="AL40" s="88"/>
      <c r="AM40" s="88"/>
      <c r="AN40" s="129"/>
      <c r="AO40" s="88"/>
      <c r="AP40" s="88"/>
      <c r="AQ40" s="129"/>
      <c r="AR40" s="88"/>
      <c r="AS40" s="88"/>
      <c r="AT40" s="129"/>
      <c r="AU40" s="88"/>
      <c r="AV40" s="88"/>
      <c r="AW40" s="129"/>
      <c r="AX40" s="88"/>
      <c r="AY40" s="88"/>
      <c r="AZ40" s="85"/>
      <c r="BA40" s="92"/>
      <c r="BB40" s="93"/>
      <c r="BC40" s="88"/>
    </row>
    <row r="41" spans="1:55" ht="16.2" customHeight="1" thickBot="1" x14ac:dyDescent="0.45">
      <c r="B41" s="145" t="str">
        <f>'2025 IS_Quarterly'!B41</f>
        <v>원/달러 환율*</v>
      </c>
      <c r="C41" s="146" t="str">
        <f>'2025 IS_Quarterly'!C41</f>
        <v>￦/$</v>
      </c>
      <c r="D41" s="412">
        <v>1305.4000000000001</v>
      </c>
      <c r="E41" s="412">
        <v>1363.98</v>
      </c>
      <c r="F41" s="414"/>
      <c r="G41" s="88"/>
      <c r="H41" s="88"/>
      <c r="I41" s="88"/>
      <c r="J41" s="129"/>
      <c r="K41" s="88"/>
      <c r="L41" s="88"/>
      <c r="M41" s="129"/>
      <c r="N41" s="88"/>
      <c r="O41" s="88"/>
      <c r="P41" s="129"/>
      <c r="Q41" s="88"/>
      <c r="R41" s="88"/>
      <c r="S41" s="129"/>
      <c r="T41" s="88"/>
      <c r="U41" s="88"/>
      <c r="V41" s="129"/>
      <c r="W41" s="88"/>
      <c r="X41" s="88"/>
      <c r="Y41" s="129"/>
      <c r="Z41" s="88"/>
      <c r="AA41" s="88"/>
      <c r="AB41" s="129"/>
      <c r="AC41" s="88"/>
      <c r="AD41" s="88"/>
      <c r="AE41" s="129"/>
      <c r="AF41" s="88"/>
      <c r="AG41" s="88"/>
      <c r="AH41" s="129"/>
      <c r="AI41" s="88"/>
      <c r="AJ41" s="88"/>
      <c r="AK41" s="129"/>
      <c r="AL41" s="88"/>
      <c r="AM41" s="88"/>
      <c r="AN41" s="129"/>
      <c r="AO41" s="88"/>
      <c r="AP41" s="88"/>
      <c r="AQ41" s="129"/>
      <c r="AR41" s="88"/>
      <c r="AS41" s="88"/>
      <c r="AT41" s="129"/>
      <c r="AU41" s="88"/>
      <c r="AV41" s="88"/>
      <c r="AW41" s="129"/>
      <c r="AX41" s="88"/>
      <c r="AY41" s="88"/>
      <c r="AZ41" s="85"/>
      <c r="BA41" s="92"/>
      <c r="BB41" s="93"/>
      <c r="BC41" s="88"/>
    </row>
    <row r="42" spans="1:55" s="42" customFormat="1" ht="16.2" customHeight="1" x14ac:dyDescent="0.4">
      <c r="A42" s="156"/>
      <c r="B42" s="150"/>
      <c r="C42" s="94"/>
      <c r="D42" s="315" t="b">
        <f>ROUND(D37,1)=ROUND(D4,1)</f>
        <v>1</v>
      </c>
      <c r="E42" s="315" t="b">
        <f>ROUND(E37,1)=ROUND(E4,1)</f>
        <v>1</v>
      </c>
      <c r="F42" s="415"/>
      <c r="J42" s="130"/>
      <c r="M42" s="130"/>
      <c r="P42" s="130"/>
      <c r="S42" s="130"/>
      <c r="V42" s="130"/>
      <c r="Y42" s="130"/>
      <c r="AB42" s="130"/>
      <c r="AE42" s="130"/>
      <c r="AH42" s="130"/>
      <c r="AK42" s="130"/>
      <c r="AN42" s="130"/>
      <c r="AQ42" s="130"/>
      <c r="AT42" s="130"/>
      <c r="AW42" s="130"/>
      <c r="BB42" s="95"/>
    </row>
    <row r="43" spans="1:55" s="42" customFormat="1" ht="16.2" customHeight="1" x14ac:dyDescent="0.4">
      <c r="A43" s="157"/>
      <c r="B43" s="43" t="s">
        <v>203</v>
      </c>
      <c r="C43" s="44"/>
      <c r="D43" s="416"/>
      <c r="E43" s="416"/>
      <c r="F43" s="336"/>
      <c r="G43" s="11"/>
      <c r="H43" s="11"/>
      <c r="I43" s="11"/>
      <c r="J43" s="131"/>
      <c r="K43" s="11"/>
      <c r="L43" s="11"/>
      <c r="M43" s="131"/>
      <c r="N43" s="11"/>
      <c r="O43" s="11"/>
      <c r="P43" s="131"/>
      <c r="Q43" s="11"/>
      <c r="R43" s="11"/>
      <c r="S43" s="131"/>
      <c r="T43" s="11"/>
      <c r="U43" s="11"/>
      <c r="V43" s="131"/>
      <c r="W43" s="11"/>
      <c r="X43" s="11"/>
      <c r="Y43" s="131"/>
      <c r="Z43" s="11"/>
      <c r="AA43" s="11"/>
      <c r="AB43" s="131"/>
      <c r="AC43" s="11"/>
      <c r="AD43" s="11"/>
      <c r="AE43" s="131"/>
      <c r="AF43" s="11"/>
      <c r="AG43" s="11"/>
      <c r="AH43" s="131"/>
      <c r="AI43" s="11"/>
      <c r="AJ43" s="11"/>
      <c r="AK43" s="131"/>
      <c r="AL43" s="11"/>
      <c r="AM43" s="11"/>
      <c r="AN43" s="131"/>
      <c r="AO43" s="11"/>
      <c r="AP43" s="11"/>
      <c r="AQ43" s="131"/>
      <c r="AR43" s="11"/>
      <c r="AS43" s="11"/>
      <c r="AT43" s="131"/>
      <c r="AU43" s="11"/>
      <c r="AV43" s="11"/>
      <c r="AW43" s="131"/>
      <c r="AX43" s="11"/>
      <c r="AY43" s="11"/>
      <c r="BC43" s="95"/>
    </row>
    <row r="44" spans="1:55" s="21" customFormat="1" ht="16.2" customHeight="1" x14ac:dyDescent="0.4">
      <c r="A44" s="159"/>
      <c r="B44" s="46" t="str">
        <f>'2025 IS_Quarterly'!B44</f>
        <v>(단위 : %)</v>
      </c>
      <c r="C44" s="197" t="str">
        <f>'2025 IS_Quarterly'!C44</f>
        <v>(Unit: %)</v>
      </c>
      <c r="D44" s="391">
        <f>D26</f>
        <v>2023</v>
      </c>
      <c r="E44" s="391">
        <f>E26</f>
        <v>2024</v>
      </c>
      <c r="F44" s="393"/>
      <c r="G44" s="5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44"/>
      <c r="BA44" s="12"/>
      <c r="BB44" s="12"/>
      <c r="BC44" s="12"/>
    </row>
    <row r="45" spans="1:55" s="21" customFormat="1" ht="16.2" customHeight="1" x14ac:dyDescent="0.4">
      <c r="A45" s="157"/>
      <c r="B45" s="76" t="str">
        <f>'2025 IS_Quarterly'!B45</f>
        <v>장비</v>
      </c>
      <c r="C45" s="77" t="str">
        <f>'2025 IS_Quarterly'!C45</f>
        <v>Device</v>
      </c>
      <c r="D45" s="132">
        <f>D27/D$37</f>
        <v>0.52780449158474663</v>
      </c>
      <c r="E45" s="132">
        <f t="shared" ref="E45:E56" si="5">E27/E$37</f>
        <v>0.51156506060223306</v>
      </c>
      <c r="F45" s="408"/>
      <c r="H45" s="52"/>
      <c r="I45" s="52"/>
      <c r="J45" s="133"/>
      <c r="K45" s="52"/>
      <c r="L45" s="52"/>
      <c r="M45" s="133"/>
      <c r="N45" s="52"/>
      <c r="O45" s="52"/>
      <c r="P45" s="133"/>
      <c r="Q45" s="52"/>
      <c r="R45" s="52"/>
      <c r="S45" s="133"/>
      <c r="T45" s="52"/>
      <c r="U45" s="52"/>
      <c r="V45" s="133"/>
      <c r="W45" s="52"/>
      <c r="X45" s="52"/>
      <c r="Y45" s="133"/>
      <c r="Z45" s="52"/>
      <c r="AA45" s="52"/>
      <c r="AB45" s="133"/>
      <c r="AC45" s="52"/>
      <c r="AD45" s="52"/>
      <c r="AE45" s="133"/>
      <c r="AF45" s="52"/>
      <c r="AG45" s="52"/>
      <c r="AH45" s="133"/>
      <c r="AI45" s="52"/>
      <c r="AJ45" s="52"/>
      <c r="AK45" s="133"/>
      <c r="AL45" s="52"/>
      <c r="AM45" s="52"/>
      <c r="AN45" s="133"/>
      <c r="AO45" s="52"/>
      <c r="AP45" s="52"/>
      <c r="AQ45" s="133"/>
      <c r="AR45" s="52"/>
      <c r="AS45" s="52"/>
      <c r="AT45" s="133"/>
      <c r="AU45" s="52"/>
      <c r="AV45" s="52"/>
      <c r="AW45" s="133"/>
      <c r="AX45" s="52"/>
      <c r="AY45" s="52"/>
      <c r="AZ45" s="63"/>
      <c r="BA45" s="64"/>
      <c r="BB45" s="57"/>
      <c r="BC45" s="52"/>
    </row>
    <row r="46" spans="1:55" s="89" customFormat="1" ht="16.2" customHeight="1" x14ac:dyDescent="0.4">
      <c r="A46" s="160"/>
      <c r="B46" s="83" t="str">
        <f>'2025 IS_Quarterly'!B46</f>
        <v>수출</v>
      </c>
      <c r="C46" s="84" t="str">
        <f>'2025 IS_Quarterly'!C46</f>
        <v>Global</v>
      </c>
      <c r="D46" s="417">
        <f t="shared" ref="D46" si="6">D28/D$37</f>
        <v>0.37709370623089222</v>
      </c>
      <c r="E46" s="417">
        <f t="shared" si="5"/>
        <v>0.39063150150691128</v>
      </c>
      <c r="F46" s="403"/>
      <c r="G46" s="88"/>
      <c r="H46" s="88"/>
      <c r="I46" s="88"/>
      <c r="J46" s="134"/>
      <c r="K46" s="88"/>
      <c r="L46" s="88"/>
      <c r="M46" s="134"/>
      <c r="N46" s="88"/>
      <c r="O46" s="88"/>
      <c r="P46" s="134"/>
      <c r="Q46" s="88"/>
      <c r="R46" s="88"/>
      <c r="S46" s="134"/>
      <c r="T46" s="88"/>
      <c r="U46" s="88"/>
      <c r="V46" s="134"/>
      <c r="W46" s="88"/>
      <c r="X46" s="88"/>
      <c r="Y46" s="134"/>
      <c r="Z46" s="88"/>
      <c r="AA46" s="88"/>
      <c r="AB46" s="134"/>
      <c r="AC46" s="88"/>
      <c r="AD46" s="88"/>
      <c r="AE46" s="134"/>
      <c r="AF46" s="88"/>
      <c r="AG46" s="88"/>
      <c r="AH46" s="134"/>
      <c r="AI46" s="88"/>
      <c r="AJ46" s="88"/>
      <c r="AK46" s="134"/>
      <c r="AL46" s="88"/>
      <c r="AM46" s="88"/>
      <c r="AN46" s="134"/>
      <c r="AO46" s="88"/>
      <c r="AP46" s="88"/>
      <c r="AQ46" s="134"/>
      <c r="AR46" s="88"/>
      <c r="AS46" s="88"/>
      <c r="AT46" s="134"/>
      <c r="AU46" s="88"/>
      <c r="AV46" s="88"/>
      <c r="AW46" s="134"/>
      <c r="AX46" s="88"/>
      <c r="AY46" s="88"/>
      <c r="AZ46" s="85"/>
      <c r="BA46" s="86"/>
      <c r="BB46" s="87"/>
      <c r="BC46" s="88"/>
    </row>
    <row r="47" spans="1:55" s="89" customFormat="1" ht="16.2" customHeight="1" x14ac:dyDescent="0.4">
      <c r="A47" s="160"/>
      <c r="B47" s="83" t="str">
        <f>'2025 IS_Quarterly'!B47</f>
        <v>내수</v>
      </c>
      <c r="C47" s="84" t="str">
        <f>'2025 IS_Quarterly'!C47</f>
        <v>Korea</v>
      </c>
      <c r="D47" s="417">
        <f t="shared" ref="D47" si="7">D29/D$37</f>
        <v>0.1507107853538544</v>
      </c>
      <c r="E47" s="417">
        <f t="shared" si="5"/>
        <v>0.12093355909532177</v>
      </c>
      <c r="F47" s="403"/>
      <c r="G47" s="88"/>
      <c r="H47" s="88"/>
      <c r="I47" s="88"/>
      <c r="J47" s="134"/>
      <c r="K47" s="88"/>
      <c r="L47" s="88"/>
      <c r="M47" s="134"/>
      <c r="N47" s="88"/>
      <c r="O47" s="88"/>
      <c r="P47" s="134"/>
      <c r="Q47" s="88"/>
      <c r="R47" s="88"/>
      <c r="S47" s="134"/>
      <c r="T47" s="88"/>
      <c r="U47" s="88"/>
      <c r="V47" s="134"/>
      <c r="W47" s="88"/>
      <c r="X47" s="88"/>
      <c r="Y47" s="134"/>
      <c r="Z47" s="88"/>
      <c r="AA47" s="88"/>
      <c r="AB47" s="134"/>
      <c r="AC47" s="88"/>
      <c r="AD47" s="88"/>
      <c r="AE47" s="134"/>
      <c r="AF47" s="88"/>
      <c r="AG47" s="88"/>
      <c r="AH47" s="134"/>
      <c r="AI47" s="88"/>
      <c r="AJ47" s="88"/>
      <c r="AK47" s="134"/>
      <c r="AL47" s="88"/>
      <c r="AM47" s="88"/>
      <c r="AN47" s="134"/>
      <c r="AO47" s="88"/>
      <c r="AP47" s="88"/>
      <c r="AQ47" s="134"/>
      <c r="AR47" s="88"/>
      <c r="AS47" s="88"/>
      <c r="AT47" s="134"/>
      <c r="AU47" s="88"/>
      <c r="AV47" s="88"/>
      <c r="AW47" s="134"/>
      <c r="AX47" s="88"/>
      <c r="AY47" s="88"/>
      <c r="AZ47" s="85"/>
      <c r="BA47" s="86"/>
      <c r="BB47" s="87"/>
      <c r="BC47" s="88"/>
    </row>
    <row r="48" spans="1:55" s="21" customFormat="1" ht="16.2" customHeight="1" x14ac:dyDescent="0.4">
      <c r="A48" s="157"/>
      <c r="B48" s="76" t="str">
        <f>'2025 IS_Quarterly'!B48</f>
        <v>소모품</v>
      </c>
      <c r="C48" s="77" t="str">
        <f>'2025 IS_Quarterly'!C48</f>
        <v>Consumable</v>
      </c>
      <c r="D48" s="132">
        <f t="shared" ref="D48" si="8">D30/D$37</f>
        <v>0.44990363973018194</v>
      </c>
      <c r="E48" s="132">
        <f t="shared" si="5"/>
        <v>0.46481228587410178</v>
      </c>
      <c r="F48" s="408"/>
      <c r="G48" s="88"/>
      <c r="H48" s="52"/>
      <c r="I48" s="52"/>
      <c r="J48" s="133"/>
      <c r="K48" s="52"/>
      <c r="L48" s="52"/>
      <c r="M48" s="133"/>
      <c r="N48" s="52"/>
      <c r="O48" s="52"/>
      <c r="P48" s="133"/>
      <c r="Q48" s="52"/>
      <c r="R48" s="52"/>
      <c r="S48" s="133"/>
      <c r="T48" s="52"/>
      <c r="U48" s="52"/>
      <c r="V48" s="133"/>
      <c r="W48" s="52"/>
      <c r="X48" s="52"/>
      <c r="Y48" s="133"/>
      <c r="Z48" s="52"/>
      <c r="AA48" s="52"/>
      <c r="AB48" s="133"/>
      <c r="AC48" s="52"/>
      <c r="AD48" s="52"/>
      <c r="AE48" s="133"/>
      <c r="AF48" s="52"/>
      <c r="AG48" s="52"/>
      <c r="AH48" s="133"/>
      <c r="AI48" s="52"/>
      <c r="AJ48" s="52"/>
      <c r="AK48" s="133"/>
      <c r="AL48" s="52"/>
      <c r="AM48" s="52"/>
      <c r="AN48" s="133"/>
      <c r="AO48" s="52"/>
      <c r="AP48" s="52"/>
      <c r="AQ48" s="133"/>
      <c r="AR48" s="52"/>
      <c r="AS48" s="52"/>
      <c r="AT48" s="133"/>
      <c r="AU48" s="52"/>
      <c r="AV48" s="52"/>
      <c r="AW48" s="133"/>
      <c r="AX48" s="52"/>
      <c r="AY48" s="52"/>
      <c r="AZ48" s="63"/>
      <c r="BA48" s="64"/>
      <c r="BB48" s="57"/>
      <c r="BC48" s="52"/>
    </row>
    <row r="49" spans="1:55" s="89" customFormat="1" ht="16.2" customHeight="1" x14ac:dyDescent="0.4">
      <c r="A49" s="160"/>
      <c r="B49" s="83" t="str">
        <f>'2025 IS_Quarterly'!B49</f>
        <v>수출</v>
      </c>
      <c r="C49" s="84" t="str">
        <f>'2025 IS_Quarterly'!C49</f>
        <v>Global</v>
      </c>
      <c r="D49" s="417">
        <f t="shared" ref="D49" si="9">D31/D$37</f>
        <v>0.26523899482346913</v>
      </c>
      <c r="E49" s="417">
        <f t="shared" si="5"/>
        <v>0.27562070923338072</v>
      </c>
      <c r="F49" s="403"/>
      <c r="G49" s="88"/>
      <c r="J49" s="134"/>
      <c r="K49" s="88"/>
      <c r="L49" s="88"/>
      <c r="M49" s="134"/>
      <c r="N49" s="88"/>
      <c r="O49" s="88"/>
      <c r="P49" s="134"/>
      <c r="Q49" s="88"/>
      <c r="R49" s="88"/>
      <c r="S49" s="134"/>
      <c r="T49" s="88"/>
      <c r="U49" s="88"/>
      <c r="V49" s="134"/>
      <c r="W49" s="88"/>
      <c r="X49" s="88"/>
      <c r="Y49" s="134"/>
      <c r="Z49" s="88"/>
      <c r="AA49" s="88"/>
      <c r="AB49" s="134"/>
      <c r="AC49" s="88"/>
      <c r="AD49" s="88"/>
      <c r="AE49" s="134"/>
      <c r="AF49" s="88"/>
      <c r="AG49" s="88"/>
      <c r="AH49" s="134"/>
      <c r="AI49" s="88"/>
      <c r="AJ49" s="88"/>
      <c r="AK49" s="134"/>
      <c r="AL49" s="88"/>
      <c r="AM49" s="88"/>
      <c r="AN49" s="134"/>
      <c r="AO49" s="88"/>
      <c r="AP49" s="88"/>
      <c r="AQ49" s="134"/>
      <c r="AR49" s="88"/>
      <c r="AS49" s="88"/>
      <c r="AT49" s="134"/>
      <c r="AU49" s="88"/>
      <c r="AV49" s="88"/>
      <c r="AW49" s="134"/>
      <c r="AX49" s="88"/>
      <c r="AY49" s="88"/>
      <c r="AZ49" s="85"/>
      <c r="BA49" s="86"/>
      <c r="BB49" s="87"/>
      <c r="BC49" s="88"/>
    </row>
    <row r="50" spans="1:55" s="89" customFormat="1" ht="16.2" customHeight="1" x14ac:dyDescent="0.4">
      <c r="A50" s="160"/>
      <c r="B50" s="83" t="str">
        <f>'2025 IS_Quarterly'!B50</f>
        <v>내수</v>
      </c>
      <c r="C50" s="84" t="str">
        <f>'2025 IS_Quarterly'!C50</f>
        <v>Korea</v>
      </c>
      <c r="D50" s="417">
        <f t="shared" ref="D50" si="10">D32/D$37</f>
        <v>0.18466464490671286</v>
      </c>
      <c r="E50" s="417">
        <f t="shared" si="5"/>
        <v>0.18919157664072109</v>
      </c>
      <c r="F50" s="403"/>
      <c r="G50" s="88"/>
      <c r="H50" s="88"/>
      <c r="I50" s="88"/>
      <c r="J50" s="134"/>
      <c r="K50" s="88"/>
      <c r="L50" s="88"/>
      <c r="M50" s="134"/>
      <c r="N50" s="88"/>
      <c r="O50" s="88"/>
      <c r="P50" s="134"/>
      <c r="Q50" s="88"/>
      <c r="R50" s="88"/>
      <c r="S50" s="134"/>
      <c r="T50" s="88"/>
      <c r="U50" s="88"/>
      <c r="V50" s="134"/>
      <c r="W50" s="88"/>
      <c r="X50" s="88"/>
      <c r="Y50" s="134"/>
      <c r="Z50" s="88"/>
      <c r="AA50" s="88"/>
      <c r="AB50" s="134"/>
      <c r="AC50" s="88"/>
      <c r="AD50" s="88"/>
      <c r="AE50" s="134"/>
      <c r="AF50" s="88"/>
      <c r="AG50" s="88"/>
      <c r="AH50" s="134"/>
      <c r="AI50" s="88"/>
      <c r="AJ50" s="88"/>
      <c r="AK50" s="134"/>
      <c r="AL50" s="88"/>
      <c r="AM50" s="88"/>
      <c r="AN50" s="134"/>
      <c r="AO50" s="88"/>
      <c r="AP50" s="88"/>
      <c r="AQ50" s="134"/>
      <c r="AR50" s="88"/>
      <c r="AS50" s="88"/>
      <c r="AT50" s="134"/>
      <c r="AU50" s="88"/>
      <c r="AV50" s="88"/>
      <c r="AW50" s="134"/>
      <c r="AX50" s="88"/>
      <c r="AY50" s="88"/>
      <c r="AZ50" s="85"/>
      <c r="BA50" s="86"/>
      <c r="BB50" s="87"/>
      <c r="BC50" s="88"/>
    </row>
    <row r="51" spans="1:55" s="21" customFormat="1" ht="16.2" customHeight="1" x14ac:dyDescent="0.4">
      <c r="A51" s="157"/>
      <c r="B51" s="76" t="str">
        <f>'2025 IS_Quarterly'!B51</f>
        <v>홈케어</v>
      </c>
      <c r="C51" s="77" t="str">
        <f>'2025 IS_Quarterly'!C51</f>
        <v>Shurink RX/SKEDERM</v>
      </c>
      <c r="D51" s="132">
        <f t="shared" ref="D51" si="11">D33/D$37</f>
        <v>1.3549816001264769E-2</v>
      </c>
      <c r="E51" s="132">
        <f t="shared" si="5"/>
        <v>1.9458490773906267E-2</v>
      </c>
      <c r="F51" s="408"/>
      <c r="G51" s="52"/>
      <c r="H51" s="52"/>
      <c r="I51" s="52"/>
      <c r="J51" s="133"/>
      <c r="K51" s="52"/>
      <c r="L51" s="52"/>
      <c r="M51" s="133"/>
      <c r="N51" s="52"/>
      <c r="O51" s="52"/>
      <c r="P51" s="133"/>
      <c r="Q51" s="52"/>
      <c r="R51" s="52"/>
      <c r="S51" s="133"/>
      <c r="T51" s="52"/>
      <c r="U51" s="52"/>
      <c r="V51" s="133"/>
      <c r="W51" s="52"/>
      <c r="X51" s="52"/>
      <c r="Y51" s="133"/>
      <c r="Z51" s="52"/>
      <c r="AA51" s="52"/>
      <c r="AB51" s="133"/>
      <c r="AC51" s="52"/>
      <c r="AD51" s="52"/>
      <c r="AE51" s="133"/>
      <c r="AF51" s="52"/>
      <c r="AG51" s="52"/>
      <c r="AH51" s="133"/>
      <c r="AI51" s="52"/>
      <c r="AJ51" s="52"/>
      <c r="AK51" s="133"/>
      <c r="AL51" s="52"/>
      <c r="AM51" s="52"/>
      <c r="AN51" s="133"/>
      <c r="AO51" s="52"/>
      <c r="AP51" s="52"/>
      <c r="AQ51" s="133"/>
      <c r="AR51" s="52"/>
      <c r="AS51" s="52"/>
      <c r="AT51" s="133"/>
      <c r="AU51" s="52"/>
      <c r="AV51" s="52"/>
      <c r="AW51" s="133"/>
      <c r="AX51" s="52"/>
      <c r="AY51" s="52"/>
      <c r="AZ51" s="63"/>
      <c r="BA51" s="64"/>
      <c r="BB51" s="57"/>
      <c r="BC51" s="52"/>
    </row>
    <row r="52" spans="1:55" s="89" customFormat="1" ht="16.2" customHeight="1" x14ac:dyDescent="0.4">
      <c r="A52" s="160"/>
      <c r="B52" s="83" t="str">
        <f>'2025 IS_Quarterly'!B52</f>
        <v>수출</v>
      </c>
      <c r="C52" s="84" t="str">
        <f>'2025 IS_Quarterly'!C52</f>
        <v>Global</v>
      </c>
      <c r="D52" s="417">
        <f t="shared" ref="D52" si="12">D34/D$37</f>
        <v>4.5841311193439392E-3</v>
      </c>
      <c r="E52" s="417">
        <f t="shared" si="5"/>
        <v>5.3348422186572878E-3</v>
      </c>
      <c r="F52" s="403"/>
      <c r="G52" s="88"/>
      <c r="H52" s="88"/>
      <c r="I52" s="88"/>
      <c r="J52" s="134"/>
      <c r="K52" s="88"/>
      <c r="L52" s="88"/>
      <c r="M52" s="134"/>
      <c r="N52" s="88"/>
      <c r="O52" s="88"/>
      <c r="P52" s="134"/>
      <c r="Q52" s="88"/>
      <c r="R52" s="88"/>
      <c r="S52" s="134"/>
      <c r="T52" s="88"/>
      <c r="U52" s="88"/>
      <c r="V52" s="134"/>
      <c r="W52" s="88"/>
      <c r="X52" s="88"/>
      <c r="Y52" s="134"/>
      <c r="Z52" s="88"/>
      <c r="AA52" s="88"/>
      <c r="AB52" s="134"/>
      <c r="AC52" s="88"/>
      <c r="AD52" s="88"/>
      <c r="AE52" s="134"/>
      <c r="AF52" s="88"/>
      <c r="AG52" s="88"/>
      <c r="AH52" s="134"/>
      <c r="AI52" s="88"/>
      <c r="AJ52" s="88"/>
      <c r="AK52" s="134"/>
      <c r="AL52" s="88"/>
      <c r="AM52" s="88"/>
      <c r="AN52" s="134"/>
      <c r="AO52" s="88"/>
      <c r="AP52" s="88"/>
      <c r="AQ52" s="134"/>
      <c r="AR52" s="88"/>
      <c r="AS52" s="88"/>
      <c r="AT52" s="134"/>
      <c r="AU52" s="88"/>
      <c r="AV52" s="88"/>
      <c r="AW52" s="134"/>
      <c r="AX52" s="88"/>
      <c r="AY52" s="88"/>
      <c r="AZ52" s="85"/>
      <c r="BA52" s="86"/>
      <c r="BB52" s="87"/>
      <c r="BC52" s="88"/>
    </row>
    <row r="53" spans="1:55" s="89" customFormat="1" ht="16.2" customHeight="1" x14ac:dyDescent="0.4">
      <c r="A53" s="160"/>
      <c r="B53" s="83" t="str">
        <f>'2025 IS_Quarterly'!B53</f>
        <v>내수</v>
      </c>
      <c r="C53" s="84" t="str">
        <f>'2025 IS_Quarterly'!C53</f>
        <v>Korea</v>
      </c>
      <c r="D53" s="417">
        <f t="shared" ref="D53" si="13">D35/D$37</f>
        <v>8.9656848819208278E-3</v>
      </c>
      <c r="E53" s="417">
        <f t="shared" si="5"/>
        <v>1.4123648555248976E-2</v>
      </c>
      <c r="F53" s="403"/>
      <c r="G53" s="88"/>
      <c r="H53" s="88"/>
      <c r="I53" s="88"/>
      <c r="J53" s="134"/>
      <c r="K53" s="88"/>
      <c r="L53" s="88"/>
      <c r="M53" s="134"/>
      <c r="N53" s="88"/>
      <c r="O53" s="88"/>
      <c r="P53" s="134"/>
      <c r="Q53" s="88"/>
      <c r="R53" s="88"/>
      <c r="S53" s="134"/>
      <c r="T53" s="88"/>
      <c r="U53" s="88"/>
      <c r="V53" s="134"/>
      <c r="W53" s="88"/>
      <c r="X53" s="88"/>
      <c r="Y53" s="134"/>
      <c r="Z53" s="88"/>
      <c r="AA53" s="88"/>
      <c r="AB53" s="134"/>
      <c r="AC53" s="88"/>
      <c r="AD53" s="88"/>
      <c r="AE53" s="134"/>
      <c r="AF53" s="88"/>
      <c r="AG53" s="88"/>
      <c r="AH53" s="134"/>
      <c r="AI53" s="88"/>
      <c r="AJ53" s="88"/>
      <c r="AK53" s="134"/>
      <c r="AL53" s="88"/>
      <c r="AM53" s="88"/>
      <c r="AN53" s="134"/>
      <c r="AO53" s="88"/>
      <c r="AP53" s="88"/>
      <c r="AQ53" s="134"/>
      <c r="AR53" s="88"/>
      <c r="AS53" s="88"/>
      <c r="AT53" s="134"/>
      <c r="AU53" s="88"/>
      <c r="AV53" s="88"/>
      <c r="AW53" s="134"/>
      <c r="AX53" s="88"/>
      <c r="AY53" s="88"/>
      <c r="AZ53" s="85"/>
      <c r="BA53" s="86"/>
      <c r="BB53" s="87"/>
      <c r="BC53" s="88"/>
    </row>
    <row r="54" spans="1:55" s="21" customFormat="1" ht="16.2" customHeight="1" x14ac:dyDescent="0.4">
      <c r="A54" s="157"/>
      <c r="B54" s="76" t="str">
        <f>'2025 IS_Quarterly'!B54</f>
        <v>임대료</v>
      </c>
      <c r="C54" s="77" t="str">
        <f>'2025 IS_Quarterly'!C54</f>
        <v>Rentals</v>
      </c>
      <c r="D54" s="132">
        <f t="shared" ref="D54" si="14">D36/D$37</f>
        <v>8.7420526838067301E-3</v>
      </c>
      <c r="E54" s="132">
        <f t="shared" si="5"/>
        <v>4.1641627497589163E-3</v>
      </c>
      <c r="F54" s="408"/>
      <c r="G54" s="52"/>
      <c r="H54" s="52"/>
      <c r="I54" s="52"/>
      <c r="J54" s="133"/>
      <c r="K54" s="52"/>
      <c r="L54" s="52"/>
      <c r="M54" s="133"/>
      <c r="N54" s="52"/>
      <c r="O54" s="52"/>
      <c r="P54" s="133"/>
      <c r="Q54" s="52"/>
      <c r="R54" s="52"/>
      <c r="S54" s="133"/>
      <c r="T54" s="52"/>
      <c r="U54" s="52"/>
      <c r="V54" s="133"/>
      <c r="W54" s="52"/>
      <c r="X54" s="52"/>
      <c r="Y54" s="133"/>
      <c r="Z54" s="52"/>
      <c r="AA54" s="52"/>
      <c r="AB54" s="133"/>
      <c r="AC54" s="52"/>
      <c r="AD54" s="52"/>
      <c r="AE54" s="133"/>
      <c r="AF54" s="52"/>
      <c r="AG54" s="52"/>
      <c r="AH54" s="133"/>
      <c r="AI54" s="52"/>
      <c r="AJ54" s="52"/>
      <c r="AK54" s="133"/>
      <c r="AL54" s="52"/>
      <c r="AM54" s="52"/>
      <c r="AN54" s="133"/>
      <c r="AO54" s="52"/>
      <c r="AP54" s="52"/>
      <c r="AQ54" s="133"/>
      <c r="AR54" s="52"/>
      <c r="AS54" s="52"/>
      <c r="AT54" s="133"/>
      <c r="AU54" s="52"/>
      <c r="AV54" s="52"/>
      <c r="AW54" s="133"/>
      <c r="AX54" s="52"/>
      <c r="AY54" s="52"/>
      <c r="AZ54" s="63"/>
      <c r="BA54" s="64"/>
      <c r="BB54" s="57"/>
      <c r="BC54" s="52"/>
    </row>
    <row r="55" spans="1:55" s="153" customFormat="1" ht="16.8" customHeight="1" x14ac:dyDescent="0.4">
      <c r="A55" s="157"/>
      <c r="B55" s="151" t="str">
        <f>'2025 IS_Quarterly'!B55</f>
        <v>총계</v>
      </c>
      <c r="C55" s="152" t="str">
        <f>'2025 IS_Quarterly'!C55</f>
        <v>Total</v>
      </c>
      <c r="D55" s="420">
        <f t="shared" ref="D55" si="15">D37/D$37</f>
        <v>1</v>
      </c>
      <c r="E55" s="420">
        <f t="shared" si="5"/>
        <v>1</v>
      </c>
      <c r="F55" s="421"/>
      <c r="G55" s="67"/>
      <c r="H55" s="67"/>
      <c r="I55" s="67"/>
      <c r="J55" s="422"/>
      <c r="K55" s="67"/>
      <c r="L55" s="67"/>
      <c r="M55" s="422"/>
      <c r="N55" s="67"/>
      <c r="O55" s="67"/>
      <c r="P55" s="422"/>
      <c r="Q55" s="67"/>
      <c r="R55" s="67"/>
      <c r="S55" s="422"/>
      <c r="T55" s="67"/>
      <c r="U55" s="67"/>
      <c r="V55" s="422"/>
      <c r="W55" s="67"/>
      <c r="X55" s="67"/>
      <c r="Y55" s="422"/>
      <c r="Z55" s="67"/>
      <c r="AA55" s="67"/>
      <c r="AB55" s="422"/>
      <c r="AC55" s="67"/>
      <c r="AD55" s="67"/>
      <c r="AE55" s="422"/>
      <c r="AF55" s="67"/>
      <c r="AG55" s="67"/>
      <c r="AH55" s="422"/>
      <c r="AI55" s="67"/>
      <c r="AJ55" s="67"/>
      <c r="AK55" s="422"/>
      <c r="AL55" s="67"/>
      <c r="AM55" s="67"/>
      <c r="AN55" s="422"/>
      <c r="AO55" s="67"/>
      <c r="AP55" s="67"/>
      <c r="AQ55" s="422"/>
      <c r="AR55" s="67"/>
      <c r="AS55" s="67"/>
      <c r="AT55" s="422"/>
      <c r="AU55" s="67"/>
      <c r="AV55" s="67"/>
      <c r="AW55" s="422"/>
      <c r="AX55" s="67"/>
      <c r="AY55" s="67"/>
      <c r="AZ55" s="57"/>
      <c r="BB55" s="57"/>
      <c r="BC55" s="67"/>
    </row>
    <row r="56" spans="1:55" s="89" customFormat="1" ht="16.8" customHeight="1" x14ac:dyDescent="0.4">
      <c r="A56" s="161"/>
      <c r="B56" s="83" t="str">
        <f>'2025 IS_Quarterly'!B56</f>
        <v>수출</v>
      </c>
      <c r="C56" s="84" t="str">
        <f>'2025 IS_Quarterly'!C56</f>
        <v>Global</v>
      </c>
      <c r="D56" s="417">
        <f t="shared" ref="D56" si="16">D38/D$37</f>
        <v>0.64691683217370521</v>
      </c>
      <c r="E56" s="417">
        <f t="shared" si="5"/>
        <v>0.67158705295894916</v>
      </c>
      <c r="F56" s="403"/>
      <c r="G56" s="88"/>
      <c r="H56" s="88"/>
      <c r="I56" s="88"/>
      <c r="J56" s="134"/>
      <c r="K56" s="88"/>
      <c r="L56" s="88"/>
      <c r="M56" s="134"/>
      <c r="N56" s="88"/>
      <c r="O56" s="88"/>
      <c r="P56" s="134"/>
      <c r="Q56" s="88"/>
      <c r="R56" s="88"/>
      <c r="S56" s="134"/>
      <c r="T56" s="88"/>
      <c r="U56" s="88"/>
      <c r="V56" s="134"/>
      <c r="W56" s="88"/>
      <c r="X56" s="88"/>
      <c r="Y56" s="134"/>
      <c r="Z56" s="88"/>
      <c r="AA56" s="88"/>
      <c r="AB56" s="134"/>
      <c r="AC56" s="88"/>
      <c r="AD56" s="88"/>
      <c r="AE56" s="134"/>
      <c r="AF56" s="88"/>
      <c r="AG56" s="88"/>
      <c r="AH56" s="134"/>
      <c r="AI56" s="88"/>
      <c r="AJ56" s="88"/>
      <c r="AK56" s="134"/>
      <c r="AL56" s="88"/>
      <c r="AM56" s="88"/>
      <c r="AN56" s="134"/>
      <c r="AO56" s="88"/>
      <c r="AP56" s="88"/>
      <c r="AQ56" s="134"/>
      <c r="AR56" s="88"/>
      <c r="AS56" s="88"/>
      <c r="AT56" s="134"/>
      <c r="AU56" s="88"/>
      <c r="AV56" s="88"/>
      <c r="AW56" s="134"/>
      <c r="AX56" s="88"/>
      <c r="AY56" s="88"/>
      <c r="AZ56" s="85"/>
      <c r="BA56" s="86"/>
      <c r="BB56" s="87"/>
      <c r="BC56" s="88"/>
    </row>
    <row r="57" spans="1:55" ht="16.2" customHeight="1" thickBot="1" x14ac:dyDescent="0.45">
      <c r="A57" s="160"/>
      <c r="B57" s="83" t="str">
        <f>'2025 IS_Quarterly'!B57</f>
        <v>내수</v>
      </c>
      <c r="C57" s="84" t="str">
        <f>'2025 IS_Quarterly'!C57</f>
        <v>Korea</v>
      </c>
      <c r="D57" s="417">
        <f>D40/D$37</f>
        <v>0.27246121552337171</v>
      </c>
      <c r="E57" s="417">
        <f>E40/E$37</f>
        <v>0.21685652369399327</v>
      </c>
      <c r="F57" s="403"/>
      <c r="G57" s="88"/>
      <c r="H57" s="88"/>
      <c r="I57" s="88"/>
      <c r="J57" s="134"/>
      <c r="K57" s="88"/>
      <c r="L57" s="88"/>
      <c r="M57" s="134"/>
      <c r="N57" s="88"/>
      <c r="O57" s="88"/>
      <c r="P57" s="134"/>
      <c r="Q57" s="88"/>
      <c r="R57" s="88"/>
      <c r="S57" s="134"/>
      <c r="T57" s="88"/>
      <c r="U57" s="88"/>
      <c r="V57" s="134"/>
      <c r="W57" s="88"/>
      <c r="X57" s="88"/>
      <c r="Y57" s="134"/>
      <c r="Z57" s="88"/>
      <c r="AA57" s="88"/>
      <c r="AB57" s="134"/>
      <c r="AC57" s="88"/>
      <c r="AD57" s="88"/>
      <c r="AE57" s="134"/>
      <c r="AF57" s="88"/>
      <c r="AG57" s="88"/>
      <c r="AH57" s="134"/>
      <c r="AI57" s="88"/>
      <c r="AJ57" s="88"/>
      <c r="AK57" s="134"/>
      <c r="AL57" s="88"/>
      <c r="AM57" s="88"/>
      <c r="AN57" s="134"/>
      <c r="AO57" s="88"/>
      <c r="AP57" s="88"/>
      <c r="AQ57" s="134"/>
      <c r="AR57" s="88"/>
      <c r="AS57" s="88"/>
      <c r="AT57" s="134"/>
      <c r="AU57" s="88"/>
      <c r="AV57" s="88"/>
      <c r="AW57" s="134"/>
      <c r="AX57" s="88"/>
      <c r="AY57" s="88"/>
      <c r="AZ57" s="85"/>
      <c r="BA57" s="92"/>
      <c r="BB57" s="87"/>
      <c r="BC57" s="88"/>
    </row>
    <row r="58" spans="1:55" ht="16.95" customHeight="1" thickBot="1" x14ac:dyDescent="0.45">
      <c r="A58" s="162"/>
      <c r="B58" s="145" t="str">
        <f>'2025 IS_Quarterly'!B58</f>
        <v>브라질</v>
      </c>
      <c r="C58" s="146" t="str">
        <f>'2025 IS_Quarterly'!C58</f>
        <v>Brazil</v>
      </c>
      <c r="D58" s="538">
        <f>IFERROR(D40/D$37,"")</f>
        <v>0.27246121552337171</v>
      </c>
      <c r="E58" s="538">
        <f>IFERROR(E40/E$37,"")</f>
        <v>0.21685652369399327</v>
      </c>
    </row>
    <row r="62" spans="1:55" ht="16.95" customHeight="1" x14ac:dyDescent="0.4">
      <c r="B62" s="856" t="str">
        <f>'2025 IS_Quarterly'!B62</f>
        <v>(단위 : 백만원)</v>
      </c>
      <c r="C62" s="857" t="str">
        <f>'2025 IS_Quarterly'!C62</f>
        <v>(Unit: Million KRW)</v>
      </c>
      <c r="D62" s="857"/>
      <c r="E62" s="857"/>
    </row>
    <row r="63" spans="1:55" ht="16.95" customHeight="1" x14ac:dyDescent="0.4">
      <c r="B63" s="850" t="str">
        <f>'2025 IS_Quarterly'!B63</f>
        <v>영업외수익 - 금융수익</v>
      </c>
      <c r="C63" s="895" t="str">
        <f>'2025 IS_Quarterly'!C63</f>
        <v>Financial  Income</v>
      </c>
      <c r="D63" s="801">
        <f>+SUM(D64:D67)</f>
        <v>8660.3140000000003</v>
      </c>
      <c r="E63" s="801">
        <v>24212</v>
      </c>
    </row>
    <row r="64" spans="1:55" ht="16.95" customHeight="1" x14ac:dyDescent="0.4">
      <c r="B64" s="854" t="str">
        <f>'2025 IS_Quarterly'!B64</f>
        <v>이자수익</v>
      </c>
      <c r="C64" s="875" t="str">
        <f>'2025 IS_Quarterly'!C64</f>
        <v>Interest Income</v>
      </c>
      <c r="D64" s="799">
        <v>4627.866</v>
      </c>
      <c r="E64" s="799">
        <v>4801</v>
      </c>
    </row>
    <row r="65" spans="2:5" ht="16.95" customHeight="1" x14ac:dyDescent="0.4">
      <c r="B65" s="854" t="str">
        <f>'2025 IS_Quarterly'!B65</f>
        <v>금융자산평가이익</v>
      </c>
      <c r="C65" s="875" t="str">
        <f>'2025 IS_Quarterly'!C65</f>
        <v>Gain on Valuation of Financial Assets</v>
      </c>
      <c r="D65" s="799">
        <v>1126.0719999999999</v>
      </c>
      <c r="E65" s="799">
        <v>3089</v>
      </c>
    </row>
    <row r="66" spans="2:5" ht="16.95" customHeight="1" x14ac:dyDescent="0.4">
      <c r="B66" s="854" t="str">
        <f>'2025 IS_Quarterly'!B66</f>
        <v>외환차익</v>
      </c>
      <c r="C66" s="875" t="str">
        <f>'2025 IS_Quarterly'!C66</f>
        <v>Gain on Foreign Exchange</v>
      </c>
      <c r="D66" s="799">
        <v>745.03</v>
      </c>
      <c r="E66" s="799">
        <v>3499</v>
      </c>
    </row>
    <row r="67" spans="2:5" ht="16.95" customHeight="1" x14ac:dyDescent="0.4">
      <c r="B67" s="855" t="str">
        <f>'2025 IS_Quarterly'!B67</f>
        <v>외화환산이익</v>
      </c>
      <c r="C67" s="896" t="str">
        <f>'2025 IS_Quarterly'!C67</f>
        <v>Gain on Foreign Currency Translation</v>
      </c>
      <c r="D67" s="887">
        <v>2161.346</v>
      </c>
      <c r="E67" s="887">
        <v>12823</v>
      </c>
    </row>
    <row r="68" spans="2:5" ht="16.95" customHeight="1" x14ac:dyDescent="0.4">
      <c r="B68" s="850" t="str">
        <f>'2025 IS_Quarterly'!B68</f>
        <v>영업외비용 - 금융비용</v>
      </c>
      <c r="C68" s="895" t="str">
        <f>'2025 IS_Quarterly'!C68</f>
        <v>Financial Expenses</v>
      </c>
      <c r="D68" s="801">
        <f>+SUM(D69:D74)</f>
        <v>3621.7570000000001</v>
      </c>
      <c r="E68" s="801">
        <v>-4683.99</v>
      </c>
    </row>
    <row r="69" spans="2:5" ht="16.95" customHeight="1" x14ac:dyDescent="0.4">
      <c r="B69" s="854" t="str">
        <f>'2025 IS_Quarterly'!B69</f>
        <v>이자비용</v>
      </c>
      <c r="C69" s="875" t="str">
        <f>'2025 IS_Quarterly'!C69</f>
        <v>Interest Expenses</v>
      </c>
      <c r="D69" s="799">
        <v>1985.684</v>
      </c>
      <c r="E69" s="799">
        <v>-2041</v>
      </c>
    </row>
    <row r="70" spans="2:5" ht="16.95" customHeight="1" x14ac:dyDescent="0.4">
      <c r="B70" s="854" t="str">
        <f>'2025 IS_Quarterly'!B70</f>
        <v>매출채권처분손실</v>
      </c>
      <c r="C70" s="875" t="str">
        <f>'2025 IS_Quarterly'!C70</f>
        <v>Loss on Disposal of Trade Receivables</v>
      </c>
      <c r="D70" s="799">
        <v>0</v>
      </c>
      <c r="E70" s="799">
        <v>9.9999999999909051E-3</v>
      </c>
    </row>
    <row r="71" spans="2:5" ht="16.95" customHeight="1" x14ac:dyDescent="0.4">
      <c r="B71" s="854" t="str">
        <f>'2025 IS_Quarterly'!B71</f>
        <v>외환차손</v>
      </c>
      <c r="C71" s="875" t="str">
        <f>'2025 IS_Quarterly'!C71</f>
        <v>Loss on Foreign Exchange</v>
      </c>
      <c r="D71" s="799">
        <v>617.56399999999996</v>
      </c>
      <c r="E71" s="799">
        <v>-946</v>
      </c>
    </row>
    <row r="72" spans="2:5" ht="16.95" customHeight="1" x14ac:dyDescent="0.4">
      <c r="B72" s="854" t="str">
        <f>'2025 IS_Quarterly'!B72</f>
        <v>파생상품평가손실</v>
      </c>
      <c r="C72" s="875" t="str">
        <f>'2025 IS_Quarterly'!C72</f>
        <v>Loss on Valuation of Derivatives</v>
      </c>
      <c r="D72" s="889">
        <v>0</v>
      </c>
      <c r="E72" s="889">
        <v>-1648</v>
      </c>
    </row>
    <row r="73" spans="2:5" ht="16.95" customHeight="1" x14ac:dyDescent="0.4">
      <c r="B73" s="854" t="str">
        <f>'2025 IS_Quarterly'!B73</f>
        <v>금융자산평가손실</v>
      </c>
      <c r="C73" s="875" t="str">
        <f>'2025 IS_Quarterly'!C73</f>
        <v>Loss on Valuation of Financial Assets</v>
      </c>
      <c r="D73" s="892">
        <v>0</v>
      </c>
      <c r="E73" s="892">
        <v>-29</v>
      </c>
    </row>
    <row r="74" spans="2:5" ht="16.95" customHeight="1" x14ac:dyDescent="0.4">
      <c r="B74" s="855" t="str">
        <f>'2025 IS_Quarterly'!B74</f>
        <v>외화환산손실</v>
      </c>
      <c r="C74" s="896" t="str">
        <f>'2025 IS_Quarterly'!C74</f>
        <v>Loss on Foreign Currency Translation</v>
      </c>
      <c r="D74" s="894">
        <v>1018.509</v>
      </c>
      <c r="E74" s="894">
        <v>-20</v>
      </c>
    </row>
  </sheetData>
  <phoneticPr fontId="3" type="noConversion"/>
  <conditionalFormatting sqref="F1:BA1 G24:BA25 K27:L28 N27:O28 Q27:R41 T27:U41 W27:X41 Z27:AA41 AC27:AD41 AF27:AG41 AI27:AJ41 AL27:AM41 AO27:AP41 AR27:AS41 AU27:AV41 AX27:AY41 BC27:BC41 F27:F43 G42:BA43 F45:F53 K45:L57 N45:O57 Q45:R57 T45:U57 W45:X57 Z45:AA57 AC45:AD57 AF45:AG57 AI45:AJ57 AL45:AM57 AO45:AP57 AR45:AS57 AU45:AV57 AX45:AY57 BC45:BC57 G49 G50:I53 F54:I57 F58 D59:F61 F62:F74 D75:F1048576">
    <cfRule type="cellIs" dxfId="97" priority="120" operator="lessThan">
      <formula>0</formula>
    </cfRule>
    <cfRule type="cellIs" dxfId="96" priority="121" operator="greaterThan">
      <formula>0</formula>
    </cfRule>
  </conditionalFormatting>
  <conditionalFormatting sqref="G4:I23 K4:L23 N4:O23 Q4:R23 T4:U23 W4:X23 Z4:AA23 AC4:AD23 AF4:AG23 AI4:AJ23 AL4:AM23 AO4:AP23 AR4:AS23 AU4:AV23 AX4:AY23 BC4:BC23 F4:F25 G27:I29 G30:G35 H31:H32 I32 I34 H34:H36 G36:I41 G44 H45:I45 G46:I48">
    <cfRule type="cellIs" dxfId="95" priority="25" operator="lessThan">
      <formula>0</formula>
    </cfRule>
    <cfRule type="cellIs" dxfId="94" priority="26" operator="greaterThan">
      <formula>0</formula>
    </cfRule>
  </conditionalFormatting>
  <conditionalFormatting sqref="K29 O29 K30:L41 N30:O41">
    <cfRule type="cellIs" dxfId="93" priority="229" operator="lessThan">
      <formula>0</formula>
    </cfRule>
    <cfRule type="cellIs" dxfId="92" priority="230" operator="greaterThan">
      <formula>0</formula>
    </cfRule>
  </conditionalFormatting>
  <conditionalFormatting sqref="BB3:BB23">
    <cfRule type="cellIs" dxfId="91" priority="140" operator="equal">
      <formula>0</formula>
    </cfRule>
  </conditionalFormatting>
  <conditionalFormatting sqref="BB26:BB27">
    <cfRule type="cellIs" dxfId="90" priority="124" operator="equal">
      <formula>0</formula>
    </cfRule>
  </conditionalFormatting>
  <conditionalFormatting sqref="BB30">
    <cfRule type="cellIs" dxfId="89" priority="138" operator="equal">
      <formula>0</formula>
    </cfRule>
  </conditionalFormatting>
  <conditionalFormatting sqref="BB33">
    <cfRule type="cellIs" dxfId="88" priority="57" operator="equal">
      <formula>0</formula>
    </cfRule>
  </conditionalFormatting>
  <conditionalFormatting sqref="BB36:BB37">
    <cfRule type="cellIs" dxfId="87" priority="125" operator="equal">
      <formula>0</formula>
    </cfRule>
  </conditionalFormatting>
  <conditionalFormatting sqref="BB45">
    <cfRule type="cellIs" dxfId="86" priority="134" operator="equal">
      <formula>0</formula>
    </cfRule>
  </conditionalFormatting>
  <conditionalFormatting sqref="BB48">
    <cfRule type="cellIs" dxfId="85" priority="133" operator="equal">
      <formula>0</formula>
    </cfRule>
  </conditionalFormatting>
  <conditionalFormatting sqref="BB51">
    <cfRule type="cellIs" dxfId="84" priority="130" operator="equal">
      <formula>0</formula>
    </cfRule>
  </conditionalFormatting>
  <conditionalFormatting sqref="BB54:BB55">
    <cfRule type="cellIs" dxfId="83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80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C0BFC890B10D5A409D5992D8E9103205" ma:contentTypeVersion="14" ma:contentTypeDescription="새 문서를 만듭니다." ma:contentTypeScope="" ma:versionID="a18550e9293bd85df154b3cbdb04f8cb">
  <xsd:schema xmlns:xsd="http://www.w3.org/2001/XMLSchema" xmlns:xs="http://www.w3.org/2001/XMLSchema" xmlns:p="http://schemas.microsoft.com/office/2006/metadata/properties" xmlns:ns2="c64ffd61-c081-42c0-bcae-bdcccf0304c4" xmlns:ns3="80ef5aa2-b88a-4c75-99e8-f43376ee2b42" targetNamespace="http://schemas.microsoft.com/office/2006/metadata/properties" ma:root="true" ma:fieldsID="c758dc7b8c33beb5a510700a3129bf4a" ns2:_="" ns3:_="">
    <xsd:import namespace="c64ffd61-c081-42c0-bcae-bdcccf0304c4"/>
    <xsd:import namespace="80ef5aa2-b88a-4c75-99e8-f43376ee2b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fd61-c081-42c0-bcae-bdcccf0304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이미지 태그" ma:readOnly="false" ma:fieldId="{5cf76f15-5ced-4ddc-b409-7134ff3c332f}" ma:taxonomyMulti="true" ma:sspId="5410372f-e37a-409f-baf7-dae9795ed3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ef5aa2-b88a-4c75-99e8-f43376ee2b4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ab8d18a-282d-472d-bb52-02b1614080d1}" ma:internalName="TaxCatchAll" ma:showField="CatchAllData" ma:web="80ef5aa2-b88a-4c75-99e8-f43376ee2b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ef5aa2-b88a-4c75-99e8-f43376ee2b42" xsi:nil="true"/>
    <lcf76f155ced4ddcb4097134ff3c332f xmlns="c64ffd61-c081-42c0-bcae-bdcccf0304c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E8A125-0110-45AB-9A91-7494021E82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7BACAB-A8E7-4118-AF63-326A6296B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4ffd61-c081-42c0-bcae-bdcccf0304c4"/>
    <ds:schemaRef ds:uri="80ef5aa2-b88a-4c75-99e8-f43376ee2b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8DE0BD-6823-4E59-A85F-AECE2DA7EC4A}">
  <ds:schemaRefs>
    <ds:schemaRef ds:uri="http://schemas.microsoft.com/office/2006/metadata/properties"/>
    <ds:schemaRef ds:uri="http://schemas.microsoft.com/office/infopath/2007/PartnerControls"/>
    <ds:schemaRef ds:uri="06037e04-7186-48ae-af5f-19757320bcdd"/>
    <ds:schemaRef ds:uri="755c5863-6822-4905-a534-1d8818298bb7"/>
    <ds:schemaRef ds:uri="80ef5aa2-b88a-4c75-99e8-f43376ee2b42"/>
    <ds:schemaRef ds:uri="c64ffd61-c081-42c0-bcae-bdcccf0304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20</vt:i4>
      </vt:variant>
      <vt:variant>
        <vt:lpstr>이름 지정된 범위</vt:lpstr>
      </vt:variant>
      <vt:variant>
        <vt:i4>16</vt:i4>
      </vt:variant>
    </vt:vector>
  </HeadingPairs>
  <TitlesOfParts>
    <vt:vector size="36" baseType="lpstr">
      <vt:lpstr>Quarterly&gt;&gt;</vt:lpstr>
      <vt:lpstr>2025 IS_Quarterly</vt:lpstr>
      <vt:lpstr>SG&amp;A_Quarterly</vt:lpstr>
      <vt:lpstr>BS_Quarterly</vt:lpstr>
      <vt:lpstr>YTD Quarterly&gt;&gt;</vt:lpstr>
      <vt:lpstr>2025 IS_YTD</vt:lpstr>
      <vt:lpstr>SG&amp;A_YTD</vt:lpstr>
      <vt:lpstr>Annually&gt;&gt;</vt:lpstr>
      <vt:lpstr>2025 IS_Annually</vt:lpstr>
      <vt:lpstr>SG&amp;A_Annually</vt:lpstr>
      <vt:lpstr>BS_Annually</vt:lpstr>
      <vt:lpstr>Previous Ver(~2024)&gt;&gt;</vt:lpstr>
      <vt:lpstr>~2024 IS_Quarterly</vt:lpstr>
      <vt:lpstr>~2024 IS_YTD</vt:lpstr>
      <vt:lpstr>~2024 IS_Annually</vt:lpstr>
      <vt:lpstr>IR BOOK&gt;&gt;</vt:lpstr>
      <vt:lpstr>PL</vt:lpstr>
      <vt:lpstr>Brand</vt:lpstr>
      <vt:lpstr>SG&amp;A</vt:lpstr>
      <vt:lpstr>BS</vt:lpstr>
      <vt:lpstr>'~2024 IS_Quarterly'!Print_Area</vt:lpstr>
      <vt:lpstr>'~2024 IS_YTD'!Print_Area</vt:lpstr>
      <vt:lpstr>'2025 IS_Annually'!Print_Area</vt:lpstr>
      <vt:lpstr>'2025 IS_Quarterly'!Print_Area</vt:lpstr>
      <vt:lpstr>'2025 IS_YTD'!Print_Area</vt:lpstr>
      <vt:lpstr>BS_Annually!Print_Area</vt:lpstr>
      <vt:lpstr>BS_Quarterly!Print_Area</vt:lpstr>
      <vt:lpstr>'SG&amp;A_Annually'!Print_Area</vt:lpstr>
      <vt:lpstr>'SG&amp;A_Quarterly'!Print_Area</vt:lpstr>
      <vt:lpstr>'SG&amp;A_YTD'!Print_Area</vt:lpstr>
      <vt:lpstr>'2025 IS_Annually'!Print_Titles</vt:lpstr>
      <vt:lpstr>BS_Annually!Print_Titles</vt:lpstr>
      <vt:lpstr>BS_Quarterly!Print_Titles</vt:lpstr>
      <vt:lpstr>'SG&amp;A_Annually'!Print_Titles</vt:lpstr>
      <vt:lpstr>'SG&amp;A_Quarterly'!Print_Titles</vt:lpstr>
      <vt:lpstr>'SG&amp;A_YTD'!Print_Titles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서정민</cp:lastModifiedBy>
  <cp:revision/>
  <cp:lastPrinted>2025-07-15T08:07:39Z</cp:lastPrinted>
  <dcterms:created xsi:type="dcterms:W3CDTF">2018-02-06T21:15:38Z</dcterms:created>
  <dcterms:modified xsi:type="dcterms:W3CDTF">2025-11-11T00:54:47Z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0x010100C0BFC890B10D5A409D5992D8E9103205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